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0.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defaultThemeVersion="124226"/>
  <mc:AlternateContent xmlns:mc="http://schemas.openxmlformats.org/markup-compatibility/2006">
    <mc:Choice Requires="x15">
      <x15ac:absPath xmlns:x15ac="http://schemas.microsoft.com/office/spreadsheetml/2010/11/ac" url="C:\Users\Public\Documents\Altium\Projects\SW8E-MainPowerBoard\12V_Module\"/>
    </mc:Choice>
  </mc:AlternateContent>
  <xr:revisionPtr revIDLastSave="0" documentId="13_ncr:1_{FCD3A65D-EC1E-4229-AA2D-DD5169EB01F8}" xr6:coauthVersionLast="47" xr6:coauthVersionMax="47" xr10:uidLastSave="{00000000-0000-0000-0000-000000000000}"/>
  <workbookProtection workbookPassword="E1A4" lockStructure="1"/>
  <bookViews>
    <workbookView xWindow="-108" yWindow="-108" windowWidth="23256" windowHeight="12576" xr2:uid="{00000000-000D-0000-FFFF-FFFF00000000}"/>
  </bookViews>
  <sheets>
    <sheet name="Design Converter" sheetId="1" r:id="rId1"/>
    <sheet name="Variable_Management" sheetId="2" state="hidden" r:id="rId2"/>
    <sheet name="Eff_vs_IOUT" sheetId="4" state="hidden" r:id="rId3"/>
    <sheet name="Loop_Modeling" sheetId="5" state="hidden" r:id="rId4"/>
    <sheet name="Constants" sheetId="3" state="hidden" r:id="rId5"/>
    <sheet name="Plot_Management_Eff" sheetId="6" state="hidden" r:id="rId6"/>
    <sheet name="Plot_Management_Sch" sheetId="7" state="hidden" r:id="rId7"/>
    <sheet name="Lists" sheetId="8" state="hidden" r:id="rId8"/>
    <sheet name="Sheet1" sheetId="9" state="hidden" r:id="rId9"/>
  </sheets>
  <definedNames>
    <definedName name="Acs">Constants!$B$30</definedName>
    <definedName name="Adc">Loop_Modeling!$B$34</definedName>
    <definedName name="Adc_ea">Loop_Modeling!$B$58</definedName>
    <definedName name="ADC_VINmin">Variable_Management!$B$178</definedName>
    <definedName name="Cac">Variable_Management!$B$132</definedName>
    <definedName name="Cac_min">Variable_Management!$B$131</definedName>
    <definedName name="CCOMP">Variable_Management!$B$238</definedName>
    <definedName name="CCOMP_Calc">Variable_Management!$B$237</definedName>
    <definedName name="CCOMP_calc_CCM">Variable_Management!$B$207</definedName>
    <definedName name="CCOMP_CALC_DCM">Variable_Management!$B$228</definedName>
    <definedName name="CHF">Variable_Management!$B$240</definedName>
    <definedName name="CHF_calc">Variable_Management!$B$239</definedName>
    <definedName name="CHF_CALC_CCM">Variable_Management!$B$208</definedName>
    <definedName name="CHF_CALC_DCM">Variable_Management!$B$229</definedName>
    <definedName name="Comp_calc_CCM">Variable_Management!$B$207</definedName>
    <definedName name="Cout">Variable_Management!$B$144</definedName>
    <definedName name="Cout_min">Variable_Management!$B$142</definedName>
    <definedName name="D_limit_max">Constants!$B$18</definedName>
    <definedName name="D_limit_min">Constants!$B$16</definedName>
    <definedName name="D_limit_nom">Constants!$B$17</definedName>
    <definedName name="DC_DCM_max">Variable_Management!$B$32</definedName>
    <definedName name="Dc_max_IC">Variable_Management!$B$20</definedName>
    <definedName name="Dc_max_ideal">Variable_Management!$A$19</definedName>
    <definedName name="DC_rip">Variable_Management!#REF!</definedName>
    <definedName name="Dc_rip_max">Variable_Management!#REF!</definedName>
    <definedName name="Dc_VIN_max">Variable_Management!$B$87</definedName>
    <definedName name="Dc_VIN_min">Variable_Management!$B$53</definedName>
    <definedName name="Dc_VIN_nom">Variable_Management!$B$70</definedName>
    <definedName name="DC_VIN_Var">Loop_Modeling!$B$18</definedName>
    <definedName name="DC_VIN_var_DCM">Loop_Modeling!$B$66</definedName>
    <definedName name="EFF_est">Variable_Management!$B$17</definedName>
    <definedName name="Eff_vs_IOUT">Plot_Management_Eff!$C$3</definedName>
    <definedName name="fcross">Variable_Management!$B$233</definedName>
    <definedName name="fcross_est">Variable_Management!$B$232</definedName>
    <definedName name="fp_ea_est">Variable_Management!$B$202</definedName>
    <definedName name="Fsw">Variable_Management!$B$10</definedName>
    <definedName name="fz_ea_est">Variable_Management!$B$201</definedName>
    <definedName name="fz_rhp">Variable_Management!$B$187</definedName>
    <definedName name="Gcomp">Constants!$B$29</definedName>
    <definedName name="Gea_mid_calc">Variable_Management!#REF!</definedName>
    <definedName name="gfs">Variable_Management!$B$256</definedName>
    <definedName name="gm_ea">Constants!$B$34</definedName>
    <definedName name="Gplant_fc_dB">Loop_Modeling!$AD$7</definedName>
    <definedName name="IIN_33">Variable_Management!#REF!</definedName>
    <definedName name="IL_coupled">Variable_Management!$B$24</definedName>
    <definedName name="IL_pk">Variable_Management!$B$122</definedName>
    <definedName name="IL_pk_max">Variable_Management!$B$123</definedName>
    <definedName name="ILA_avg_VIN_max">Variable_Management!$B$90</definedName>
    <definedName name="ILA_avg_VIN_min">Variable_Management!$B$56</definedName>
    <definedName name="ILA_avg_VIN_nom">Variable_Management!$B$73</definedName>
    <definedName name="ILAp_VINmax">Variable_Management!$B$92</definedName>
    <definedName name="ILAp_VINmin">Variable_Management!$B$58</definedName>
    <definedName name="ILAp_VINnom">Variable_Management!$B$75</definedName>
    <definedName name="ILArip_VINmax">Variable_Management!$B$91</definedName>
    <definedName name="ILArip_VINmin">Variable_Management!$B$57</definedName>
    <definedName name="ILArip_VINnom">Variable_Management!$B$74</definedName>
    <definedName name="ILB_avg_VIN_max">Variable_Management!$B$95</definedName>
    <definedName name="ILB_avg_VIN_min">Variable_Management!$B$61</definedName>
    <definedName name="ILB_avg_VIN_nom">Variable_Management!$B$78</definedName>
    <definedName name="ILBp_VIN_max">Variable_Management!$B$97</definedName>
    <definedName name="ILBp_VIN_min">Variable_Management!$B$63</definedName>
    <definedName name="ILBp_VIN_nom">Variable_Management!$B$80</definedName>
    <definedName name="ILBrip_VIN_max">Variable_Management!$B$96</definedName>
    <definedName name="ILBrip_VIN_nom">Variable_Management!$B$79</definedName>
    <definedName name="ILBrip_VINmin">Variable_Management!$B$62</definedName>
    <definedName name="ILrip">Variable_Management!$B$28</definedName>
    <definedName name="IOUT">Variable_Management!$B$14</definedName>
    <definedName name="IOUT_VAR">Loop_Modeling!$B$17</definedName>
    <definedName name="Ipk_margin">Variable_Management!$B$103</definedName>
    <definedName name="Ipk_selected">Variable_Management!$B$104</definedName>
    <definedName name="IQ">Constants!$B$48</definedName>
    <definedName name="IRMS_COUT">Variable_Management!$B$143</definedName>
    <definedName name="Isl">Constants!$B$25</definedName>
    <definedName name="Iss">Constants!$B$37</definedName>
    <definedName name="ISW_peak_VIN_min">Variable_Management!$B$66</definedName>
    <definedName name="ISW_peak_VIN_nom">Variable_Management!$B$83</definedName>
    <definedName name="Kslope">Variable_Management!$B$110</definedName>
    <definedName name="Lm">Variable_Management!$B$40</definedName>
    <definedName name="Lm_A">Variable_Management!$B$42</definedName>
    <definedName name="Lm_B">Variable_Management!$B$44</definedName>
    <definedName name="Lopt">Variable_Management!#REF!</definedName>
    <definedName name="Lopt_2">Variable_Management!$B$29</definedName>
    <definedName name="M_L_DCM">Variable_Management!$B$34</definedName>
    <definedName name="POUT">Variable_Management!$B$16</definedName>
    <definedName name="_xlnm.Print_Area" localSheetId="0">'Design Converter'!$A$1:$Z$102</definedName>
    <definedName name="Q">Loop_Modeling!$B$48</definedName>
    <definedName name="Q_VINmin">Variable_Management!$B$195</definedName>
    <definedName name="Qg_tot">Variable_Management!$B$251</definedName>
    <definedName name="Qgd">Variable_Management!$B$252</definedName>
    <definedName name="Qgs">Variable_Management!$B$253</definedName>
    <definedName name="Qrr">Variable_Management!$B$246</definedName>
    <definedName name="R_cs">Variable_Management!$B$118</definedName>
    <definedName name="R_sl">Variable_Management!$B$119</definedName>
    <definedName name="RCOMP">Variable_Management!$B$236</definedName>
    <definedName name="RCOMP_Calc">Variable_Management!$B$235</definedName>
    <definedName name="Rcomp_calc_CCM">Variable_Management!$B$206</definedName>
    <definedName name="RCOMP_CALC_DCM">Variable_Management!$B$227</definedName>
    <definedName name="Rcs_max">Variable_Management!$B$107</definedName>
    <definedName name="Rcs_w_sl">Variable_Management!$B$111</definedName>
    <definedName name="Rcs_wo_sl">Variable_Management!$B$108</definedName>
    <definedName name="Rdcr">Variable_Management!$B$46</definedName>
    <definedName name="RDS_on">Variable_Management!$B$250</definedName>
    <definedName name="Resr">Variable_Management!$B$145</definedName>
    <definedName name="RFBB">Variable_Management!$B$172</definedName>
    <definedName name="RFBB_calc">Variable_Management!$B$171</definedName>
    <definedName name="RFBT">Variable_Management!$B$170</definedName>
    <definedName name="Rgate">Variable_Management!$B$254</definedName>
    <definedName name="ROUT">Variable_Management!$B$15</definedName>
    <definedName name="Rsl_int">Constants!$B$26</definedName>
    <definedName name="RT">Variable_Management!$B$11</definedName>
    <definedName name="Ruvlo_bottom_calc">Variable_Management!$B$161</definedName>
    <definedName name="Ruvlo_top">Variable_Management!$B$160</definedName>
    <definedName name="Ruvlo_top_calc">Variable_Management!$B$159</definedName>
    <definedName name="SCH_1">Plot_Management_Sch!$B$2</definedName>
    <definedName name="Se_VINmin">Variable_Management!$B$191</definedName>
    <definedName name="Sn_VINmin">Variable_Management!$B$192</definedName>
    <definedName name="tf_sw">Variable_Management!$B$263</definedName>
    <definedName name="tr_sw">Variable_Management!$B$262</definedName>
    <definedName name="tss">Variable_Management!$B$150</definedName>
    <definedName name="UV_fall">Constants!$B$41</definedName>
    <definedName name="UV_I_hyst">Constants!$B$42</definedName>
    <definedName name="UV_rise">Constants!$B$40</definedName>
    <definedName name="Vcc">Constants!$B$45</definedName>
    <definedName name="Vcl">Constants!$B$27</definedName>
    <definedName name="VCrr">Variable_Management!$B$130</definedName>
    <definedName name="Vd_rect">Variable_Management!$B$245</definedName>
    <definedName name="VIN_33">Variable_Management!#REF!</definedName>
    <definedName name="VIN_max">Variable_Management!$B$9</definedName>
    <definedName name="VIN_min">Variable_Management!$B$7</definedName>
    <definedName name="VIN_nom">Variable_Management!$B$8</definedName>
    <definedName name="VIN_op_max">Constants!$B$52</definedName>
    <definedName name="VIN_op_min">Constants!$B$51</definedName>
    <definedName name="VIN_var">Loop_Modeling!$B$16</definedName>
    <definedName name="VOUT">Variable_Management!$B$13</definedName>
    <definedName name="Vout_rip_sel">Variable_Management!$B$140</definedName>
    <definedName name="Vref">Constants!$B$33</definedName>
    <definedName name="Vth">Variable_Management!$B$257</definedName>
    <definedName name="Vuvlo_off">Variable_Management!$B$155</definedName>
    <definedName name="Vuvlo_on">Variable_Management!$B$154</definedName>
    <definedName name="wp_lf">Loop_Modeling!$B$35</definedName>
    <definedName name="wp_lf_DCM">Loop_Modeling!$B$69</definedName>
    <definedName name="wp_lf_VINmin">Variable_Management!$B$180</definedName>
    <definedName name="wp0_ea">Loop_Modeling!$B$60</definedName>
    <definedName name="wp1_ea">Loop_Modeling!$B$61</definedName>
    <definedName name="wsl">Loop_Modeling!$B$47</definedName>
    <definedName name="wsl_VINmin">Variable_Management!$B$194</definedName>
    <definedName name="wz_ea">Loop_Modeling!$B$59</definedName>
    <definedName name="wz_esr">Loop_Modeling!$B$41</definedName>
    <definedName name="wz_esr_VINmin">Variable_Management!$B$183</definedName>
    <definedName name="wz_rhp">Loop_Modeling!$B$38</definedName>
    <definedName name="wz_RHP_VINmin">Variable_Management!$B$186</definedName>
    <definedName name="wz1_dcm">Loop_Modeling!$B$71</definedName>
    <definedName name="wz2_dcm">Loop_Modeling!$B$73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2" i="2" l="1"/>
  <c r="B46" i="2"/>
  <c r="B2" i="6" l="1"/>
  <c r="B48" i="3" l="1"/>
  <c r="B258" i="2" l="1"/>
  <c r="B257" i="2"/>
  <c r="B256" i="2"/>
  <c r="B254" i="2"/>
  <c r="B253" i="2"/>
  <c r="B252" i="2"/>
  <c r="B251" i="2"/>
  <c r="B250" i="2"/>
  <c r="B246" i="2"/>
  <c r="B245" i="2"/>
  <c r="B160" i="2" l="1"/>
  <c r="B42" i="3"/>
  <c r="B158" i="2" s="1"/>
  <c r="B157" i="2"/>
  <c r="B156" i="2"/>
  <c r="B155" i="2"/>
  <c r="B154" i="2"/>
  <c r="B150" i="2"/>
  <c r="B37" i="3"/>
  <c r="B148" i="2" s="1"/>
  <c r="B159" i="2" l="1"/>
  <c r="H54" i="1" s="1"/>
  <c r="B161" i="2"/>
  <c r="B233" i="2"/>
  <c r="B34" i="3"/>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E196" i="2" l="1"/>
  <c r="B224" i="2"/>
  <c r="B203" i="2"/>
  <c r="O8" i="5"/>
  <c r="O7" i="5"/>
  <c r="B162" i="2"/>
  <c r="H56" i="1"/>
  <c r="B163" i="2"/>
  <c r="B29" i="3" l="1"/>
  <c r="B30" i="5" l="1"/>
  <c r="B170" i="2"/>
  <c r="B172" i="2"/>
  <c r="B238" i="2"/>
  <c r="B240" i="2"/>
  <c r="B56" i="5" s="1"/>
  <c r="B236" i="2"/>
  <c r="B54" i="5" s="1"/>
  <c r="B27" i="5"/>
  <c r="B53" i="5" l="1"/>
  <c r="B52" i="5"/>
  <c r="B58" i="5"/>
  <c r="AS7" i="5" s="1"/>
  <c r="B55" i="5"/>
  <c r="B60" i="5"/>
  <c r="B61" i="5"/>
  <c r="AW7" i="5" s="1"/>
  <c r="B59" i="5"/>
  <c r="AZ7" i="5" s="1"/>
  <c r="B145" i="2"/>
  <c r="B144" i="2"/>
  <c r="B124" i="2"/>
  <c r="B119" i="2"/>
  <c r="B118" i="2"/>
  <c r="B27" i="3"/>
  <c r="B25" i="3"/>
  <c r="B28" i="5" s="1"/>
  <c r="B103" i="2"/>
  <c r="B71" i="5" l="1"/>
  <c r="B72" i="5" s="1"/>
  <c r="AJ72" i="5"/>
  <c r="AJ98" i="5"/>
  <c r="AJ108" i="5"/>
  <c r="AJ116" i="5"/>
  <c r="AJ124" i="5"/>
  <c r="AJ132" i="5"/>
  <c r="AJ149" i="5"/>
  <c r="AJ167" i="5"/>
  <c r="AJ187" i="5"/>
  <c r="AJ22" i="5"/>
  <c r="AJ38" i="5"/>
  <c r="AJ54" i="5"/>
  <c r="AJ68" i="5"/>
  <c r="AJ70" i="5"/>
  <c r="AJ84" i="5"/>
  <c r="AJ86" i="5"/>
  <c r="AJ141" i="5"/>
  <c r="AJ145" i="5"/>
  <c r="AJ151" i="5"/>
  <c r="AJ153" i="5"/>
  <c r="AJ157" i="5"/>
  <c r="AJ165" i="5"/>
  <c r="AJ169" i="5"/>
  <c r="AJ173" i="5"/>
  <c r="AJ24" i="5"/>
  <c r="AJ27" i="5"/>
  <c r="AJ29" i="5"/>
  <c r="AJ40" i="5"/>
  <c r="AJ43" i="5"/>
  <c r="AJ45" i="5"/>
  <c r="AJ50" i="5"/>
  <c r="AJ56" i="5"/>
  <c r="AJ61" i="5"/>
  <c r="AJ64" i="5"/>
  <c r="AJ66" i="5"/>
  <c r="AJ71" i="5"/>
  <c r="AJ77" i="5"/>
  <c r="AJ80" i="5"/>
  <c r="AJ82" i="5"/>
  <c r="AJ87" i="5"/>
  <c r="AJ93" i="5"/>
  <c r="AJ97" i="5"/>
  <c r="AJ101" i="5"/>
  <c r="AJ105" i="5"/>
  <c r="AJ109" i="5"/>
  <c r="AJ113" i="5"/>
  <c r="AJ117" i="5"/>
  <c r="AJ121" i="5"/>
  <c r="AJ125" i="5"/>
  <c r="AJ129" i="5"/>
  <c r="AJ133" i="5"/>
  <c r="AJ143" i="5"/>
  <c r="AJ146" i="5"/>
  <c r="AJ150" i="5"/>
  <c r="AJ154" i="5"/>
  <c r="AJ156" i="5"/>
  <c r="AJ158" i="5"/>
  <c r="AJ160" i="5"/>
  <c r="AJ162" i="5"/>
  <c r="AJ164" i="5"/>
  <c r="AJ166" i="5"/>
  <c r="AJ168" i="5"/>
  <c r="AJ170" i="5"/>
  <c r="AJ172" i="5"/>
  <c r="AJ174" i="5"/>
  <c r="AJ176" i="5"/>
  <c r="AJ180" i="5"/>
  <c r="AJ184" i="5"/>
  <c r="AJ188" i="5"/>
  <c r="AJ25" i="5"/>
  <c r="AJ52" i="5"/>
  <c r="AJ62" i="5"/>
  <c r="AJ89" i="5"/>
  <c r="AJ137" i="5"/>
  <c r="AJ181" i="5"/>
  <c r="AJ185" i="5"/>
  <c r="AJ189" i="5"/>
  <c r="AJ197" i="5"/>
  <c r="AJ199" i="5"/>
  <c r="AJ203" i="5"/>
  <c r="AJ207" i="5"/>
  <c r="AJ211" i="5"/>
  <c r="AJ215" i="5"/>
  <c r="AJ219" i="5"/>
  <c r="AJ223" i="5"/>
  <c r="AJ226" i="5"/>
  <c r="AJ228" i="5"/>
  <c r="AJ233" i="5"/>
  <c r="AJ239" i="5"/>
  <c r="AJ243" i="5"/>
  <c r="AJ251" i="5"/>
  <c r="AJ255" i="5"/>
  <c r="AJ259" i="5"/>
  <c r="AJ265" i="5"/>
  <c r="AJ268" i="5"/>
  <c r="AJ270" i="5"/>
  <c r="AJ275" i="5"/>
  <c r="AJ281" i="5"/>
  <c r="AJ284" i="5"/>
  <c r="AJ286" i="5"/>
  <c r="AJ291" i="5"/>
  <c r="AJ297" i="5"/>
  <c r="AJ300" i="5"/>
  <c r="AJ302" i="5"/>
  <c r="AJ307" i="5"/>
  <c r="AJ311" i="5"/>
  <c r="AJ315" i="5"/>
  <c r="AJ319" i="5"/>
  <c r="AJ326" i="5"/>
  <c r="AJ36" i="5"/>
  <c r="AJ46" i="5"/>
  <c r="AJ55" i="5"/>
  <c r="AJ73" i="5"/>
  <c r="AJ83" i="5"/>
  <c r="AJ99" i="5"/>
  <c r="AJ107" i="5"/>
  <c r="AJ115" i="5"/>
  <c r="AJ123" i="5"/>
  <c r="AJ131" i="5"/>
  <c r="AJ139" i="5"/>
  <c r="AJ148" i="5"/>
  <c r="AJ177" i="5"/>
  <c r="AJ182" i="5"/>
  <c r="AJ186" i="5"/>
  <c r="AJ190" i="5"/>
  <c r="AJ192" i="5"/>
  <c r="AJ198" i="5"/>
  <c r="AJ202" i="5"/>
  <c r="AJ206" i="5"/>
  <c r="AJ210" i="5"/>
  <c r="AJ214" i="5"/>
  <c r="AJ218" i="5"/>
  <c r="AJ222" i="5"/>
  <c r="AJ224" i="5"/>
  <c r="AJ229" i="5"/>
  <c r="AJ235" i="5"/>
  <c r="AJ238" i="5"/>
  <c r="AJ240" i="5"/>
  <c r="AJ242" i="5"/>
  <c r="AJ20" i="5"/>
  <c r="AJ30" i="5"/>
  <c r="AJ39" i="5"/>
  <c r="AJ57" i="5"/>
  <c r="AJ67" i="5"/>
  <c r="AJ76" i="5"/>
  <c r="AJ142" i="5"/>
  <c r="AJ178" i="5"/>
  <c r="AJ193" i="5"/>
  <c r="AJ200" i="5"/>
  <c r="AJ204" i="5"/>
  <c r="AJ208" i="5"/>
  <c r="AJ212" i="5"/>
  <c r="AJ216" i="5"/>
  <c r="AJ220" i="5"/>
  <c r="AJ225" i="5"/>
  <c r="AJ231" i="5"/>
  <c r="AJ234" i="5"/>
  <c r="AJ236" i="5"/>
  <c r="AJ241" i="5"/>
  <c r="AJ244" i="5"/>
  <c r="AJ246" i="5"/>
  <c r="AJ248" i="5"/>
  <c r="AJ250" i="5"/>
  <c r="AJ252" i="5"/>
  <c r="AJ254" i="5"/>
  <c r="AJ256" i="5"/>
  <c r="AJ258" i="5"/>
  <c r="AJ260" i="5"/>
  <c r="AJ262" i="5"/>
  <c r="AJ267" i="5"/>
  <c r="AJ273" i="5"/>
  <c r="AJ276" i="5"/>
  <c r="AJ278" i="5"/>
  <c r="AJ283" i="5"/>
  <c r="AJ289" i="5"/>
  <c r="AJ292" i="5"/>
  <c r="AJ294" i="5"/>
  <c r="AJ299" i="5"/>
  <c r="AJ305" i="5"/>
  <c r="AJ308" i="5"/>
  <c r="AJ312" i="5"/>
  <c r="AJ316" i="5"/>
  <c r="AJ320" i="5"/>
  <c r="AJ324" i="5"/>
  <c r="AJ119" i="5"/>
  <c r="AJ152" i="5"/>
  <c r="AJ179" i="5"/>
  <c r="AJ194" i="5"/>
  <c r="AJ227" i="5"/>
  <c r="AJ237" i="5"/>
  <c r="AJ247" i="5"/>
  <c r="AJ264" i="5"/>
  <c r="AJ277" i="5"/>
  <c r="AJ282" i="5"/>
  <c r="AJ287" i="5"/>
  <c r="AJ296" i="5"/>
  <c r="AJ309" i="5"/>
  <c r="AJ313" i="5"/>
  <c r="AJ317" i="5"/>
  <c r="AJ321" i="5"/>
  <c r="AJ325" i="5"/>
  <c r="AJ330" i="5"/>
  <c r="AJ335" i="5"/>
  <c r="AJ339" i="5"/>
  <c r="AJ343" i="5"/>
  <c r="AJ347" i="5"/>
  <c r="AJ351" i="5"/>
  <c r="AJ355" i="5"/>
  <c r="AJ359" i="5"/>
  <c r="AJ363" i="5"/>
  <c r="AJ367" i="5"/>
  <c r="AJ371" i="5"/>
  <c r="AJ375" i="5"/>
  <c r="AJ377" i="5"/>
  <c r="AJ379" i="5"/>
  <c r="AJ383" i="5"/>
  <c r="AJ388" i="5"/>
  <c r="AJ390" i="5"/>
  <c r="AJ394" i="5"/>
  <c r="AJ396" i="5"/>
  <c r="AJ398" i="5"/>
  <c r="AJ453" i="5"/>
  <c r="AJ459" i="5"/>
  <c r="AJ462" i="5"/>
  <c r="AJ464" i="5"/>
  <c r="AJ469" i="5"/>
  <c r="AJ475" i="5"/>
  <c r="AJ478" i="5"/>
  <c r="AJ480" i="5"/>
  <c r="AJ485" i="5"/>
  <c r="AJ491" i="5"/>
  <c r="AJ494" i="5"/>
  <c r="AJ496" i="5"/>
  <c r="AJ501" i="5"/>
  <c r="AJ507" i="5"/>
  <c r="AJ509" i="5"/>
  <c r="AJ511" i="5"/>
  <c r="AJ513" i="5"/>
  <c r="AJ517" i="5"/>
  <c r="AJ519" i="5"/>
  <c r="AJ523" i="5"/>
  <c r="AJ525" i="5"/>
  <c r="AJ527" i="5"/>
  <c r="AJ529" i="5"/>
  <c r="AJ533" i="5"/>
  <c r="AJ535" i="5"/>
  <c r="AJ539" i="5"/>
  <c r="AJ543" i="5"/>
  <c r="AJ547" i="5"/>
  <c r="AJ551" i="5"/>
  <c r="AJ555" i="5"/>
  <c r="AJ559" i="5"/>
  <c r="AJ23" i="5"/>
  <c r="AJ60" i="5"/>
  <c r="AJ95" i="5"/>
  <c r="AJ127" i="5"/>
  <c r="AJ196" i="5"/>
  <c r="AJ205" i="5"/>
  <c r="AJ213" i="5"/>
  <c r="AJ221" i="5"/>
  <c r="AJ230" i="5"/>
  <c r="AJ245" i="5"/>
  <c r="AJ249" i="5"/>
  <c r="AJ269" i="5"/>
  <c r="AJ274" i="5"/>
  <c r="AJ279" i="5"/>
  <c r="AJ288" i="5"/>
  <c r="AJ301" i="5"/>
  <c r="AJ306" i="5"/>
  <c r="AJ310" i="5"/>
  <c r="AJ314" i="5"/>
  <c r="AJ318" i="5"/>
  <c r="AJ322" i="5"/>
  <c r="AJ328" i="5"/>
  <c r="AJ331" i="5"/>
  <c r="AJ333" i="5"/>
  <c r="AJ337" i="5"/>
  <c r="AJ341" i="5"/>
  <c r="AJ345" i="5"/>
  <c r="AJ349" i="5"/>
  <c r="AJ353" i="5"/>
  <c r="AJ357" i="5"/>
  <c r="AJ361" i="5"/>
  <c r="AJ365" i="5"/>
  <c r="AJ369" i="5"/>
  <c r="AJ373" i="5"/>
  <c r="AJ381" i="5"/>
  <c r="AJ385" i="5"/>
  <c r="AJ387" i="5"/>
  <c r="AJ392" i="5"/>
  <c r="AJ395" i="5"/>
  <c r="AJ401" i="5"/>
  <c r="AJ405" i="5"/>
  <c r="AJ409" i="5"/>
  <c r="AJ413" i="5"/>
  <c r="AJ417" i="5"/>
  <c r="AJ421" i="5"/>
  <c r="AJ425" i="5"/>
  <c r="AJ429" i="5"/>
  <c r="AJ433" i="5"/>
  <c r="AJ103" i="5"/>
  <c r="AJ135" i="5"/>
  <c r="AJ232" i="5"/>
  <c r="AJ253" i="5"/>
  <c r="AJ257" i="5"/>
  <c r="AJ261" i="5"/>
  <c r="AJ266" i="5"/>
  <c r="AJ271" i="5"/>
  <c r="AJ280" i="5"/>
  <c r="AJ293" i="5"/>
  <c r="AJ298" i="5"/>
  <c r="AJ303" i="5"/>
  <c r="AJ323" i="5"/>
  <c r="AJ332" i="5"/>
  <c r="AJ378" i="5"/>
  <c r="AJ389" i="5"/>
  <c r="AJ391" i="5"/>
  <c r="AJ393" i="5"/>
  <c r="AJ399" i="5"/>
  <c r="AJ403" i="5"/>
  <c r="AJ407" i="5"/>
  <c r="AJ411" i="5"/>
  <c r="AJ415" i="5"/>
  <c r="AJ419" i="5"/>
  <c r="AJ423" i="5"/>
  <c r="AJ427" i="5"/>
  <c r="AJ431" i="5"/>
  <c r="AJ435" i="5"/>
  <c r="AJ439" i="5"/>
  <c r="AJ443" i="5"/>
  <c r="AJ447" i="5"/>
  <c r="AJ451" i="5"/>
  <c r="AJ454" i="5"/>
  <c r="AJ456" i="5"/>
  <c r="AJ461" i="5"/>
  <c r="AJ467" i="5"/>
  <c r="AJ470" i="5"/>
  <c r="AJ472" i="5"/>
  <c r="AJ477" i="5"/>
  <c r="AJ483" i="5"/>
  <c r="AJ486" i="5"/>
  <c r="AJ488" i="5"/>
  <c r="AJ493" i="5"/>
  <c r="AJ499" i="5"/>
  <c r="AJ502" i="5"/>
  <c r="AJ504" i="5"/>
  <c r="AJ508" i="5"/>
  <c r="AJ514" i="5"/>
  <c r="AJ516" i="5"/>
  <c r="AJ520" i="5"/>
  <c r="AJ524" i="5"/>
  <c r="AJ530" i="5"/>
  <c r="AJ532" i="5"/>
  <c r="AJ536" i="5"/>
  <c r="AJ538" i="5"/>
  <c r="AJ540" i="5"/>
  <c r="AJ542" i="5"/>
  <c r="AJ544" i="5"/>
  <c r="AJ546" i="5"/>
  <c r="AJ548" i="5"/>
  <c r="AJ550" i="5"/>
  <c r="AJ552" i="5"/>
  <c r="AJ144" i="5"/>
  <c r="AJ209" i="5"/>
  <c r="AJ295" i="5"/>
  <c r="AJ327" i="5"/>
  <c r="AJ336" i="5"/>
  <c r="AJ344" i="5"/>
  <c r="AJ352" i="5"/>
  <c r="AJ360" i="5"/>
  <c r="AJ368" i="5"/>
  <c r="AJ376" i="5"/>
  <c r="AJ384" i="5"/>
  <c r="AJ400" i="5"/>
  <c r="AJ408" i="5"/>
  <c r="AJ416" i="5"/>
  <c r="AJ424" i="5"/>
  <c r="AJ432" i="5"/>
  <c r="AJ437" i="5"/>
  <c r="AJ441" i="5"/>
  <c r="AJ445" i="5"/>
  <c r="AJ449" i="5"/>
  <c r="AJ458" i="5"/>
  <c r="AJ471" i="5"/>
  <c r="AJ476" i="5"/>
  <c r="AJ481" i="5"/>
  <c r="AJ490" i="5"/>
  <c r="AJ503" i="5"/>
  <c r="AJ515" i="5"/>
  <c r="AJ531" i="5"/>
  <c r="AJ560" i="5"/>
  <c r="AJ463" i="5"/>
  <c r="AJ473" i="5"/>
  <c r="AJ495" i="5"/>
  <c r="AJ500" i="5"/>
  <c r="AJ512" i="5"/>
  <c r="AJ521" i="5"/>
  <c r="AJ537" i="5"/>
  <c r="AJ541" i="5"/>
  <c r="AJ549" i="5"/>
  <c r="AJ553" i="5"/>
  <c r="AJ374" i="5"/>
  <c r="AJ406" i="5"/>
  <c r="AJ422" i="5"/>
  <c r="AJ440" i="5"/>
  <c r="AJ448" i="5"/>
  <c r="AJ466" i="5"/>
  <c r="AJ479" i="5"/>
  <c r="AJ41" i="5"/>
  <c r="AJ217" i="5"/>
  <c r="AJ263" i="5"/>
  <c r="AJ329" i="5"/>
  <c r="AJ338" i="5"/>
  <c r="AJ346" i="5"/>
  <c r="AJ354" i="5"/>
  <c r="AJ362" i="5"/>
  <c r="AJ370" i="5"/>
  <c r="AJ386" i="5"/>
  <c r="AJ402" i="5"/>
  <c r="AJ410" i="5"/>
  <c r="AJ418" i="5"/>
  <c r="AJ426" i="5"/>
  <c r="AJ434" i="5"/>
  <c r="AJ438" i="5"/>
  <c r="AJ442" i="5"/>
  <c r="AJ446" i="5"/>
  <c r="AJ450" i="5"/>
  <c r="AJ468" i="5"/>
  <c r="AJ482" i="5"/>
  <c r="AJ505" i="5"/>
  <c r="AJ528" i="5"/>
  <c r="AJ545" i="5"/>
  <c r="AJ558" i="5"/>
  <c r="AJ382" i="5"/>
  <c r="AJ436" i="5"/>
  <c r="AJ452" i="5"/>
  <c r="AJ489" i="5"/>
  <c r="AJ557" i="5"/>
  <c r="AJ78" i="5"/>
  <c r="AJ285" i="5"/>
  <c r="AJ304" i="5"/>
  <c r="AJ340" i="5"/>
  <c r="AJ348" i="5"/>
  <c r="AJ356" i="5"/>
  <c r="AJ364" i="5"/>
  <c r="AJ372" i="5"/>
  <c r="AJ380" i="5"/>
  <c r="AJ404" i="5"/>
  <c r="AJ412" i="5"/>
  <c r="AJ420" i="5"/>
  <c r="AJ428" i="5"/>
  <c r="AJ455" i="5"/>
  <c r="AJ460" i="5"/>
  <c r="AJ465" i="5"/>
  <c r="AJ474" i="5"/>
  <c r="AJ487" i="5"/>
  <c r="AJ492" i="5"/>
  <c r="AJ497" i="5"/>
  <c r="AJ506" i="5"/>
  <c r="AJ510" i="5"/>
  <c r="AJ518" i="5"/>
  <c r="AJ522" i="5"/>
  <c r="AJ526" i="5"/>
  <c r="AJ534" i="5"/>
  <c r="AJ556" i="5"/>
  <c r="AJ19" i="5"/>
  <c r="AJ111" i="5"/>
  <c r="AJ201" i="5"/>
  <c r="AJ272" i="5"/>
  <c r="AJ290" i="5"/>
  <c r="AJ334" i="5"/>
  <c r="AJ342" i="5"/>
  <c r="AJ350" i="5"/>
  <c r="AJ358" i="5"/>
  <c r="AJ366" i="5"/>
  <c r="AJ397" i="5"/>
  <c r="AJ414" i="5"/>
  <c r="AJ430" i="5"/>
  <c r="AJ444" i="5"/>
  <c r="AJ457" i="5"/>
  <c r="AJ484" i="5"/>
  <c r="AJ498" i="5"/>
  <c r="AJ554" i="5"/>
  <c r="B217" i="2"/>
  <c r="B218" i="2" s="1"/>
  <c r="AT8" i="5"/>
  <c r="AV8" i="5" s="1"/>
  <c r="AT7" i="5"/>
  <c r="BA7" i="5"/>
  <c r="BB7" i="5"/>
  <c r="AX7" i="5"/>
  <c r="AY7" i="5"/>
  <c r="B183" i="2"/>
  <c r="O12" i="5"/>
  <c r="AJ12" i="5" s="1"/>
  <c r="AZ8" i="5"/>
  <c r="BB8" i="5" s="1"/>
  <c r="O13" i="5"/>
  <c r="AJ13" i="5" s="1"/>
  <c r="AW8" i="5"/>
  <c r="AY8" i="5" s="1"/>
  <c r="AS9" i="5"/>
  <c r="AS10" i="5"/>
  <c r="AS12" i="5"/>
  <c r="AS13" i="5"/>
  <c r="AS11" i="5"/>
  <c r="AS31" i="5"/>
  <c r="AS8" i="5"/>
  <c r="AS539" i="5"/>
  <c r="AS430" i="5"/>
  <c r="AS522" i="5"/>
  <c r="AS471" i="5"/>
  <c r="AS537" i="5"/>
  <c r="AS534" i="5"/>
  <c r="AS466" i="5"/>
  <c r="AS482" i="5"/>
  <c r="AS448" i="5"/>
  <c r="AS362" i="5"/>
  <c r="AS245" i="5"/>
  <c r="AS243" i="5"/>
  <c r="AS540" i="5"/>
  <c r="AS531" i="5"/>
  <c r="AS445" i="5"/>
  <c r="AS521" i="5"/>
  <c r="AS467" i="5"/>
  <c r="AS514" i="5"/>
  <c r="AS453" i="5"/>
  <c r="AS517" i="5"/>
  <c r="AS415" i="5"/>
  <c r="AS337" i="5"/>
  <c r="AS273" i="5"/>
  <c r="AS287" i="5"/>
  <c r="AS256" i="5"/>
  <c r="AS316" i="5"/>
  <c r="AS196" i="5"/>
  <c r="AS199" i="5"/>
  <c r="AS151" i="5"/>
  <c r="AS494" i="5"/>
  <c r="AS487" i="5"/>
  <c r="AS427" i="5"/>
  <c r="AS511" i="5"/>
  <c r="AS461" i="5"/>
  <c r="AS505" i="5"/>
  <c r="AS437" i="5"/>
  <c r="AS501" i="5"/>
  <c r="AS382" i="5"/>
  <c r="AS417" i="5"/>
  <c r="AS438" i="5"/>
  <c r="AS248" i="5"/>
  <c r="AS318" i="5"/>
  <c r="AS289" i="5"/>
  <c r="AS235" i="5"/>
  <c r="AS180" i="5"/>
  <c r="AS89" i="5"/>
  <c r="AS379" i="5"/>
  <c r="AS339" i="5"/>
  <c r="AS298" i="5"/>
  <c r="AS228" i="5"/>
  <c r="AS90" i="5"/>
  <c r="AS510" i="5"/>
  <c r="AS547" i="5"/>
  <c r="AS551" i="5"/>
  <c r="AS555" i="5"/>
  <c r="AS495" i="5"/>
  <c r="AS444" i="5"/>
  <c r="AS478" i="5"/>
  <c r="AS366" i="5"/>
  <c r="AS483" i="5"/>
  <c r="AS408" i="5"/>
  <c r="AS373" i="5"/>
  <c r="AS387" i="5"/>
  <c r="AS329" i="5"/>
  <c r="AS281" i="5"/>
  <c r="AS250" i="5"/>
  <c r="AS206" i="5"/>
  <c r="AS146" i="5"/>
  <c r="AS24" i="5"/>
  <c r="AS553" i="5"/>
  <c r="AS450" i="5"/>
  <c r="AS481" i="5"/>
  <c r="AS398" i="5"/>
  <c r="AS513" i="5"/>
  <c r="AS543" i="5"/>
  <c r="AS559" i="5"/>
  <c r="AS548" i="5"/>
  <c r="AS552" i="5"/>
  <c r="AS469" i="5"/>
  <c r="AS556" i="5"/>
  <c r="AS523" i="5"/>
  <c r="AS500" i="5"/>
  <c r="AS470" i="5"/>
  <c r="AS446" i="5"/>
  <c r="AS223" i="5"/>
  <c r="AS480" i="5"/>
  <c r="AS457" i="5"/>
  <c r="AS378" i="5"/>
  <c r="AS526" i="5"/>
  <c r="AS485" i="5"/>
  <c r="AS422" i="5"/>
  <c r="AS412" i="5"/>
  <c r="AS338" i="5"/>
  <c r="AS375" i="5"/>
  <c r="AS280" i="5"/>
  <c r="AS391" i="5"/>
  <c r="AS293" i="5"/>
  <c r="AS330" i="5"/>
  <c r="AS262" i="5"/>
  <c r="AS285" i="5"/>
  <c r="AS319" i="5"/>
  <c r="AS258" i="5"/>
  <c r="AS197" i="5"/>
  <c r="AS212" i="5"/>
  <c r="AS207" i="5"/>
  <c r="AS157" i="5"/>
  <c r="AS113" i="5"/>
  <c r="AS91" i="5"/>
  <c r="AS92" i="5"/>
  <c r="AS23" i="5"/>
  <c r="AS165" i="5"/>
  <c r="AS129" i="5"/>
  <c r="AS81" i="5"/>
  <c r="AS70" i="5"/>
  <c r="AS19" i="5"/>
  <c r="AS560" i="5"/>
  <c r="AS502" i="5"/>
  <c r="AS535" i="5"/>
  <c r="AS509" i="5"/>
  <c r="AS479" i="5"/>
  <c r="AS455" i="5"/>
  <c r="AS426" i="5"/>
  <c r="AS504" i="5"/>
  <c r="AS468" i="5"/>
  <c r="AS424" i="5"/>
  <c r="AS533" i="5"/>
  <c r="AS497" i="5"/>
  <c r="AS447" i="5"/>
  <c r="AS364" i="5"/>
  <c r="AS377" i="5"/>
  <c r="AS414" i="5"/>
  <c r="AS332" i="5"/>
  <c r="AS428" i="5"/>
  <c r="AS355" i="5"/>
  <c r="AS360" i="5"/>
  <c r="AS294" i="5"/>
  <c r="AS313" i="5"/>
  <c r="AS227" i="5"/>
  <c r="AS286" i="5"/>
  <c r="AS226" i="5"/>
  <c r="AS233" i="5"/>
  <c r="AS242" i="5"/>
  <c r="AS176" i="5"/>
  <c r="AS161" i="5"/>
  <c r="AS128" i="5"/>
  <c r="AS54" i="5"/>
  <c r="AS68" i="5"/>
  <c r="AS55" i="5"/>
  <c r="AS67" i="5"/>
  <c r="AS20" i="5"/>
  <c r="AS524" i="5"/>
  <c r="AS489" i="5"/>
  <c r="AS544" i="5"/>
  <c r="AS518" i="5"/>
  <c r="AS401" i="5"/>
  <c r="AS541" i="5"/>
  <c r="AS557" i="5"/>
  <c r="AS508" i="5"/>
  <c r="AS356" i="5"/>
  <c r="AS530" i="5"/>
  <c r="AS488" i="5"/>
  <c r="AS429" i="5"/>
  <c r="AS322" i="5"/>
  <c r="AS545" i="5"/>
  <c r="AS528" i="5"/>
  <c r="AS519" i="5"/>
  <c r="AS503" i="5"/>
  <c r="AS484" i="5"/>
  <c r="AS473" i="5"/>
  <c r="AS463" i="5"/>
  <c r="AS449" i="5"/>
  <c r="AS432" i="5"/>
  <c r="AS345" i="5"/>
  <c r="AS507" i="5"/>
  <c r="AS486" i="5"/>
  <c r="AS474" i="5"/>
  <c r="AS459" i="5"/>
  <c r="AS439" i="5"/>
  <c r="AS421" i="5"/>
  <c r="AS536" i="5"/>
  <c r="AS527" i="5"/>
  <c r="AS515" i="5"/>
  <c r="AS491" i="5"/>
  <c r="AS460" i="5"/>
  <c r="AS434" i="5"/>
  <c r="AS397" i="5"/>
  <c r="AS419" i="5"/>
  <c r="AS389" i="5"/>
  <c r="AS363" i="5"/>
  <c r="AS314" i="5"/>
  <c r="AS390" i="5"/>
  <c r="AS351" i="5"/>
  <c r="AS306" i="5"/>
  <c r="AS208" i="5"/>
  <c r="AS405" i="5"/>
  <c r="AS372" i="5"/>
  <c r="AS340" i="5"/>
  <c r="AS260" i="5"/>
  <c r="AS344" i="5"/>
  <c r="AS310" i="5"/>
  <c r="AS272" i="5"/>
  <c r="AS215" i="5"/>
  <c r="AS296" i="5"/>
  <c r="AS261" i="5"/>
  <c r="AS328" i="5"/>
  <c r="AS299" i="5"/>
  <c r="AS276" i="5"/>
  <c r="AS241" i="5"/>
  <c r="AS205" i="5"/>
  <c r="AS240" i="5"/>
  <c r="AS221" i="5"/>
  <c r="AS187" i="5"/>
  <c r="AS220" i="5"/>
  <c r="AS82" i="5"/>
  <c r="AS185" i="5"/>
  <c r="AS188" i="5"/>
  <c r="AS132" i="5"/>
  <c r="AS144" i="5"/>
  <c r="AS110" i="5"/>
  <c r="AS109" i="5"/>
  <c r="AS98" i="5"/>
  <c r="AS29" i="5"/>
  <c r="AS59" i="5"/>
  <c r="AS50" i="5"/>
  <c r="AS27" i="5"/>
  <c r="AS550" i="5"/>
  <c r="AS493" i="5"/>
  <c r="AS549" i="5"/>
  <c r="AS538" i="5"/>
  <c r="AS443" i="5"/>
  <c r="AS542" i="5"/>
  <c r="AS558" i="5"/>
  <c r="AS525" i="5"/>
  <c r="AS451" i="5"/>
  <c r="AS546" i="5"/>
  <c r="AS499" i="5"/>
  <c r="AS431" i="5"/>
  <c r="AS374" i="5"/>
  <c r="AS554" i="5"/>
  <c r="AS529" i="5"/>
  <c r="AS520" i="5"/>
  <c r="AS506" i="5"/>
  <c r="AS492" i="5"/>
  <c r="AS476" i="5"/>
  <c r="AS465" i="5"/>
  <c r="AS454" i="5"/>
  <c r="AS440" i="5"/>
  <c r="AS420" i="5"/>
  <c r="AS512" i="5"/>
  <c r="AS498" i="5"/>
  <c r="AS477" i="5"/>
  <c r="AS462" i="5"/>
  <c r="AS452" i="5"/>
  <c r="AS423" i="5"/>
  <c r="AS359" i="5"/>
  <c r="AS532" i="5"/>
  <c r="AS516" i="5"/>
  <c r="AS496" i="5"/>
  <c r="AS464" i="5"/>
  <c r="AS435" i="5"/>
  <c r="AS400" i="5"/>
  <c r="AS263" i="5"/>
  <c r="AS392" i="5"/>
  <c r="AS365" i="5"/>
  <c r="AS320" i="5"/>
  <c r="AS402" i="5"/>
  <c r="AS353" i="5"/>
  <c r="AS309" i="5"/>
  <c r="AS239" i="5"/>
  <c r="AS407" i="5"/>
  <c r="AS376" i="5"/>
  <c r="AS342" i="5"/>
  <c r="AS265" i="5"/>
  <c r="AS350" i="5"/>
  <c r="AS317" i="5"/>
  <c r="AS275" i="5"/>
  <c r="AS218" i="5"/>
  <c r="AS300" i="5"/>
  <c r="AS264" i="5"/>
  <c r="AS333" i="5"/>
  <c r="AS304" i="5"/>
  <c r="AS278" i="5"/>
  <c r="AS244" i="5"/>
  <c r="AS210" i="5"/>
  <c r="AS139" i="5"/>
  <c r="AS222" i="5"/>
  <c r="AS190" i="5"/>
  <c r="AS224" i="5"/>
  <c r="AS173" i="5"/>
  <c r="AS159" i="5"/>
  <c r="AS108" i="5"/>
  <c r="AS136" i="5"/>
  <c r="AS150" i="5"/>
  <c r="AS111" i="5"/>
  <c r="AS101" i="5"/>
  <c r="AS80" i="5"/>
  <c r="AS64" i="5"/>
  <c r="AS63" i="5"/>
  <c r="AS51" i="5"/>
  <c r="AS28" i="5"/>
  <c r="AS32" i="5"/>
  <c r="AS34" i="5"/>
  <c r="AS26" i="5"/>
  <c r="AS56" i="5"/>
  <c r="AS46" i="5"/>
  <c r="AS33" i="5"/>
  <c r="AS73" i="5"/>
  <c r="AS71" i="5"/>
  <c r="AS87" i="5"/>
  <c r="AS84" i="5"/>
  <c r="AS94" i="5"/>
  <c r="AS126" i="5"/>
  <c r="AS93" i="5"/>
  <c r="AS116" i="5"/>
  <c r="AS135" i="5"/>
  <c r="AS153" i="5"/>
  <c r="AS114" i="5"/>
  <c r="AS145" i="5"/>
  <c r="AS170" i="5"/>
  <c r="AS119" i="5"/>
  <c r="AS167" i="5"/>
  <c r="AS164" i="5"/>
  <c r="AS200" i="5"/>
  <c r="AS179" i="5"/>
  <c r="AS209" i="5"/>
  <c r="AS229" i="5"/>
  <c r="AS251" i="5"/>
  <c r="AS191" i="5"/>
  <c r="AS213" i="5"/>
  <c r="AS225" i="5"/>
  <c r="AS236" i="5"/>
  <c r="AS177" i="5"/>
  <c r="AS202" i="5"/>
  <c r="AS214" i="5"/>
  <c r="AS231" i="5"/>
  <c r="AS201" i="5"/>
  <c r="AS266" i="5"/>
  <c r="AS279" i="5"/>
  <c r="AS292" i="5"/>
  <c r="AS308" i="5"/>
  <c r="AS325" i="5"/>
  <c r="AS171" i="5"/>
  <c r="AS253" i="5"/>
  <c r="AS269" i="5"/>
  <c r="AS288" i="5"/>
  <c r="AS303" i="5"/>
  <c r="AS323" i="5"/>
  <c r="AS234" i="5"/>
  <c r="AS267" i="5"/>
  <c r="AS284" i="5"/>
  <c r="AS302" i="5"/>
  <c r="AS321" i="5"/>
  <c r="AS331" i="5"/>
  <c r="AS352" i="5"/>
  <c r="AS252" i="5"/>
  <c r="AS274" i="5"/>
  <c r="AS301" i="5"/>
  <c r="AS349" i="5"/>
  <c r="AS367" i="5"/>
  <c r="AS381" i="5"/>
  <c r="AS393" i="5"/>
  <c r="AS409" i="5"/>
  <c r="AS441" i="5"/>
  <c r="AS254" i="5"/>
  <c r="AS283" i="5"/>
  <c r="AS312" i="5"/>
  <c r="AS343" i="5"/>
  <c r="AS361" i="5"/>
  <c r="AS383" i="5"/>
  <c r="AS404" i="5"/>
  <c r="AS418" i="5"/>
  <c r="AS334" i="5"/>
  <c r="AS346" i="5"/>
  <c r="AS370" i="5"/>
  <c r="AS380" i="5"/>
  <c r="AS395" i="5"/>
  <c r="AS413" i="5"/>
  <c r="AS336" i="5"/>
  <c r="AS388" i="5"/>
  <c r="AS403" i="5"/>
  <c r="AS425" i="5"/>
  <c r="AS436" i="5"/>
  <c r="AS456" i="5"/>
  <c r="AS472" i="5"/>
  <c r="AS490" i="5"/>
  <c r="AS39" i="5"/>
  <c r="AS43" i="5"/>
  <c r="AS41" i="5"/>
  <c r="AS60" i="5"/>
  <c r="AS49" i="5"/>
  <c r="AS38" i="5"/>
  <c r="AS77" i="5"/>
  <c r="AS79" i="5"/>
  <c r="AS96" i="5"/>
  <c r="AS86" i="5"/>
  <c r="AS106" i="5"/>
  <c r="AS148" i="5"/>
  <c r="AS102" i="5"/>
  <c r="AS123" i="5"/>
  <c r="AS140" i="5"/>
  <c r="AS155" i="5"/>
  <c r="AS127" i="5"/>
  <c r="AS120" i="5"/>
  <c r="AS181" i="5"/>
  <c r="AS137" i="5"/>
  <c r="AS175" i="5"/>
  <c r="AS166" i="5"/>
  <c r="AS204" i="5"/>
  <c r="AS186" i="5"/>
  <c r="AS216" i="5"/>
  <c r="AS232" i="5"/>
  <c r="AS178" i="5"/>
  <c r="AS195" i="5"/>
  <c r="AS217" i="5"/>
  <c r="AS230" i="5"/>
  <c r="AS238" i="5"/>
  <c r="AS194" i="5"/>
  <c r="AS203" i="5"/>
  <c r="AS219" i="5"/>
  <c r="AS237" i="5"/>
  <c r="AS246" i="5"/>
  <c r="AS270" i="5"/>
  <c r="AS282" i="5"/>
  <c r="AS297" i="5"/>
  <c r="AS311" i="5"/>
  <c r="AS327" i="5"/>
  <c r="AS183" i="5"/>
  <c r="AS259" i="5"/>
  <c r="AS271" i="5"/>
  <c r="AS291" i="5"/>
  <c r="AS307" i="5"/>
  <c r="AS198" i="5"/>
  <c r="AS247" i="5"/>
  <c r="AS268" i="5"/>
  <c r="AS290" i="5"/>
  <c r="AS305" i="5"/>
  <c r="AS326" i="5"/>
  <c r="AS341" i="5"/>
  <c r="AS358" i="5"/>
  <c r="AS255" i="5"/>
  <c r="AS277" i="5"/>
  <c r="AS324" i="5"/>
  <c r="AS354" i="5"/>
  <c r="AS368" i="5"/>
  <c r="AS386" i="5"/>
  <c r="AS396" i="5"/>
  <c r="AS410" i="5"/>
  <c r="AS193" i="5"/>
  <c r="AS257" i="5"/>
  <c r="AS295" i="5"/>
  <c r="AS315" i="5"/>
  <c r="AS347" i="5"/>
  <c r="AS369" i="5"/>
  <c r="AS385" i="5"/>
  <c r="AS411" i="5"/>
  <c r="AS249" i="5"/>
  <c r="AS335" i="5"/>
  <c r="AS357" i="5"/>
  <c r="AS371" i="5"/>
  <c r="AS384" i="5"/>
  <c r="AS399" i="5"/>
  <c r="AS416" i="5"/>
  <c r="AS348" i="5"/>
  <c r="AS394" i="5"/>
  <c r="AS406" i="5"/>
  <c r="AS433" i="5"/>
  <c r="AS442" i="5"/>
  <c r="AS458" i="5"/>
  <c r="AS475" i="5"/>
  <c r="AS174" i="5"/>
  <c r="AS118" i="5"/>
  <c r="AS162" i="5"/>
  <c r="AS134" i="5"/>
  <c r="AS182" i="5"/>
  <c r="AS163" i="5"/>
  <c r="AS143" i="5"/>
  <c r="AS115" i="5"/>
  <c r="AS88" i="5"/>
  <c r="AS149" i="5"/>
  <c r="AS131" i="5"/>
  <c r="AS117" i="5"/>
  <c r="AS107" i="5"/>
  <c r="AS156" i="5"/>
  <c r="AS124" i="5"/>
  <c r="AS104" i="5"/>
  <c r="AS95" i="5"/>
  <c r="AS57" i="5"/>
  <c r="AS61" i="5"/>
  <c r="AS74" i="5"/>
  <c r="AS78" i="5"/>
  <c r="AS69" i="5"/>
  <c r="AS66" i="5"/>
  <c r="AS47" i="5"/>
  <c r="AS65" i="5"/>
  <c r="AS52" i="5"/>
  <c r="AS25" i="5"/>
  <c r="AS40" i="5"/>
  <c r="AS42" i="5"/>
  <c r="AS21" i="5"/>
  <c r="AS211" i="5"/>
  <c r="AS189" i="5"/>
  <c r="AS158" i="5"/>
  <c r="AS192" i="5"/>
  <c r="AS168" i="5"/>
  <c r="AS130" i="5"/>
  <c r="AS172" i="5"/>
  <c r="AS152" i="5"/>
  <c r="AS122" i="5"/>
  <c r="AS184" i="5"/>
  <c r="AS169" i="5"/>
  <c r="AS138" i="5"/>
  <c r="AS141" i="5"/>
  <c r="AS121" i="5"/>
  <c r="AS103" i="5"/>
  <c r="AS154" i="5"/>
  <c r="AS147" i="5"/>
  <c r="AS133" i="5"/>
  <c r="AS125" i="5"/>
  <c r="AS112" i="5"/>
  <c r="AS105" i="5"/>
  <c r="AS160" i="5"/>
  <c r="AS142" i="5"/>
  <c r="AS85" i="5"/>
  <c r="AS99" i="5"/>
  <c r="AS100" i="5"/>
  <c r="AS83" i="5"/>
  <c r="AS97" i="5"/>
  <c r="AS48" i="5"/>
  <c r="AS75" i="5"/>
  <c r="AS35" i="5"/>
  <c r="AS76" i="5"/>
  <c r="AS53" i="5"/>
  <c r="AS30" i="5"/>
  <c r="AS58" i="5"/>
  <c r="AS72" i="5"/>
  <c r="AS62" i="5"/>
  <c r="AS44" i="5"/>
  <c r="AS37" i="5"/>
  <c r="AS22" i="5"/>
  <c r="AS36" i="5"/>
  <c r="AS45" i="5"/>
  <c r="AZ29" i="5"/>
  <c r="AZ34" i="5"/>
  <c r="AZ36" i="5"/>
  <c r="AZ40" i="5"/>
  <c r="AZ45" i="5"/>
  <c r="AZ22" i="5"/>
  <c r="AZ25" i="5"/>
  <c r="AZ26" i="5"/>
  <c r="AZ27" i="5"/>
  <c r="AZ31" i="5"/>
  <c r="AZ37" i="5"/>
  <c r="AZ43" i="5"/>
  <c r="AZ20" i="5"/>
  <c r="AZ30" i="5"/>
  <c r="AZ33" i="5"/>
  <c r="AZ38" i="5"/>
  <c r="AZ41" i="5"/>
  <c r="AZ44" i="5"/>
  <c r="AZ46" i="5"/>
  <c r="AZ50" i="5"/>
  <c r="AZ32" i="5"/>
  <c r="AZ35" i="5"/>
  <c r="AZ42" i="5"/>
  <c r="AZ56" i="5"/>
  <c r="AZ60" i="5"/>
  <c r="AZ64" i="5"/>
  <c r="AZ67" i="5"/>
  <c r="AZ68" i="5"/>
  <c r="AZ73" i="5"/>
  <c r="AZ21" i="5"/>
  <c r="AZ28" i="5"/>
  <c r="AZ39" i="5"/>
  <c r="AZ48" i="5"/>
  <c r="AZ52" i="5"/>
  <c r="AZ63" i="5"/>
  <c r="AZ24" i="5"/>
  <c r="AZ51" i="5"/>
  <c r="AZ55" i="5"/>
  <c r="AZ58" i="5"/>
  <c r="AZ61" i="5"/>
  <c r="AZ66" i="5"/>
  <c r="AZ54" i="5"/>
  <c r="AZ57" i="5"/>
  <c r="AZ70" i="5"/>
  <c r="AZ72" i="5"/>
  <c r="AZ78" i="5"/>
  <c r="AZ49" i="5"/>
  <c r="AZ53" i="5"/>
  <c r="AZ71" i="5"/>
  <c r="AZ75" i="5"/>
  <c r="AZ79" i="5"/>
  <c r="AZ23" i="5"/>
  <c r="AZ47" i="5"/>
  <c r="AZ59" i="5"/>
  <c r="AZ62" i="5"/>
  <c r="AZ65" i="5"/>
  <c r="AZ69" i="5"/>
  <c r="AZ76" i="5"/>
  <c r="AZ77" i="5"/>
  <c r="AZ80" i="5"/>
  <c r="AZ82" i="5"/>
  <c r="AZ84" i="5"/>
  <c r="AZ93" i="5"/>
  <c r="AZ83" i="5"/>
  <c r="AZ88" i="5"/>
  <c r="AZ89" i="5"/>
  <c r="AZ90" i="5"/>
  <c r="AZ91" i="5"/>
  <c r="AZ92" i="5"/>
  <c r="AZ95" i="5"/>
  <c r="AZ96" i="5"/>
  <c r="AZ97" i="5"/>
  <c r="AZ98" i="5"/>
  <c r="AZ74" i="5"/>
  <c r="AZ102" i="5"/>
  <c r="AZ105" i="5"/>
  <c r="AZ108" i="5"/>
  <c r="AZ86" i="5"/>
  <c r="AZ87" i="5"/>
  <c r="AZ103" i="5"/>
  <c r="AZ109" i="5"/>
  <c r="AZ94" i="5"/>
  <c r="AZ99" i="5"/>
  <c r="AZ110" i="5"/>
  <c r="AZ114" i="5"/>
  <c r="AZ121" i="5"/>
  <c r="AZ129" i="5"/>
  <c r="AZ131" i="5"/>
  <c r="AZ140" i="5"/>
  <c r="AZ144" i="5"/>
  <c r="AZ151" i="5"/>
  <c r="AZ81" i="5"/>
  <c r="AZ85" i="5"/>
  <c r="AZ100" i="5"/>
  <c r="AZ106" i="5"/>
  <c r="AZ111" i="5"/>
  <c r="AZ112" i="5"/>
  <c r="AZ117" i="5"/>
  <c r="AZ120" i="5"/>
  <c r="AZ123" i="5"/>
  <c r="AZ125" i="5"/>
  <c r="AZ126" i="5"/>
  <c r="AZ128" i="5"/>
  <c r="AZ133" i="5"/>
  <c r="AZ135" i="5"/>
  <c r="AZ138" i="5"/>
  <c r="AZ146" i="5"/>
  <c r="AZ147" i="5"/>
  <c r="AZ149" i="5"/>
  <c r="AZ154" i="5"/>
  <c r="AZ155" i="5"/>
  <c r="AZ107" i="5"/>
  <c r="AZ113" i="5"/>
  <c r="AZ119" i="5"/>
  <c r="AZ124" i="5"/>
  <c r="AZ127" i="5"/>
  <c r="AZ137" i="5"/>
  <c r="AZ139" i="5"/>
  <c r="AZ142" i="5"/>
  <c r="AZ145" i="5"/>
  <c r="AZ148" i="5"/>
  <c r="AZ101" i="5"/>
  <c r="AZ104" i="5"/>
  <c r="AZ132" i="5"/>
  <c r="AZ160" i="5"/>
  <c r="AZ163" i="5"/>
  <c r="AZ167" i="5"/>
  <c r="AZ169" i="5"/>
  <c r="AZ175" i="5"/>
  <c r="AZ177" i="5"/>
  <c r="AZ181" i="5"/>
  <c r="AZ116" i="5"/>
  <c r="AZ141" i="5"/>
  <c r="AZ150" i="5"/>
  <c r="AZ153" i="5"/>
  <c r="AZ159" i="5"/>
  <c r="AZ164" i="5"/>
  <c r="AZ166" i="5"/>
  <c r="AZ170" i="5"/>
  <c r="AZ172" i="5"/>
  <c r="AZ176" i="5"/>
  <c r="AZ180" i="5"/>
  <c r="AZ185" i="5"/>
  <c r="AZ115" i="5"/>
  <c r="AZ122" i="5"/>
  <c r="AZ134" i="5"/>
  <c r="AZ143" i="5"/>
  <c r="AZ152" i="5"/>
  <c r="AZ156" i="5"/>
  <c r="AZ158" i="5"/>
  <c r="AZ162" i="5"/>
  <c r="AZ168" i="5"/>
  <c r="AZ173" i="5"/>
  <c r="AZ183" i="5"/>
  <c r="AZ187" i="5"/>
  <c r="AZ197" i="5"/>
  <c r="AZ198" i="5"/>
  <c r="AZ201" i="5"/>
  <c r="AZ203" i="5"/>
  <c r="AZ118" i="5"/>
  <c r="AZ130" i="5"/>
  <c r="AZ136" i="5"/>
  <c r="AZ165" i="5"/>
  <c r="AZ171" i="5"/>
  <c r="AZ174" i="5"/>
  <c r="AZ190" i="5"/>
  <c r="AZ205" i="5"/>
  <c r="AZ208" i="5"/>
  <c r="AZ211" i="5"/>
  <c r="AZ213" i="5"/>
  <c r="AZ216" i="5"/>
  <c r="AZ221" i="5"/>
  <c r="AZ225" i="5"/>
  <c r="AZ230" i="5"/>
  <c r="AZ233" i="5"/>
  <c r="AZ236" i="5"/>
  <c r="AZ243" i="5"/>
  <c r="AZ179" i="5"/>
  <c r="AZ182" i="5"/>
  <c r="AZ194" i="5"/>
  <c r="AZ195" i="5"/>
  <c r="AZ196" i="5"/>
  <c r="AZ204" i="5"/>
  <c r="AZ210" i="5"/>
  <c r="AZ212" i="5"/>
  <c r="AZ214" i="5"/>
  <c r="AZ217" i="5"/>
  <c r="AZ219" i="5"/>
  <c r="AZ222" i="5"/>
  <c r="AZ226" i="5"/>
  <c r="AZ228" i="5"/>
  <c r="AZ235" i="5"/>
  <c r="AZ238" i="5"/>
  <c r="AZ242" i="5"/>
  <c r="AZ244" i="5"/>
  <c r="AZ161" i="5"/>
  <c r="AZ178" i="5"/>
  <c r="AZ184" i="5"/>
  <c r="AZ186" i="5"/>
  <c r="AZ199" i="5"/>
  <c r="AZ200" i="5"/>
  <c r="AZ202" i="5"/>
  <c r="AZ215" i="5"/>
  <c r="AZ231" i="5"/>
  <c r="AZ234" i="5"/>
  <c r="AZ237" i="5"/>
  <c r="AZ239" i="5"/>
  <c r="AZ240" i="5"/>
  <c r="AZ189" i="5"/>
  <c r="AZ191" i="5"/>
  <c r="AZ193" i="5"/>
  <c r="AZ220" i="5"/>
  <c r="AZ223" i="5"/>
  <c r="AZ246" i="5"/>
  <c r="AZ259" i="5"/>
  <c r="AZ261" i="5"/>
  <c r="AZ264" i="5"/>
  <c r="AZ266" i="5"/>
  <c r="AZ271" i="5"/>
  <c r="AZ274" i="5"/>
  <c r="AZ276" i="5"/>
  <c r="AZ279" i="5"/>
  <c r="AZ281" i="5"/>
  <c r="AZ282" i="5"/>
  <c r="AZ285" i="5"/>
  <c r="AZ288" i="5"/>
  <c r="AZ291" i="5"/>
  <c r="AZ296" i="5"/>
  <c r="AZ300" i="5"/>
  <c r="AZ303" i="5"/>
  <c r="AZ307" i="5"/>
  <c r="AZ313" i="5"/>
  <c r="AZ318" i="5"/>
  <c r="AZ323" i="5"/>
  <c r="AZ327" i="5"/>
  <c r="AZ157" i="5"/>
  <c r="AZ207" i="5"/>
  <c r="AZ247" i="5"/>
  <c r="AZ253" i="5"/>
  <c r="AZ256" i="5"/>
  <c r="AZ262" i="5"/>
  <c r="AZ269" i="5"/>
  <c r="AZ272" i="5"/>
  <c r="AZ278" i="5"/>
  <c r="AZ284" i="5"/>
  <c r="AZ290" i="5"/>
  <c r="AZ294" i="5"/>
  <c r="AZ298" i="5"/>
  <c r="AZ305" i="5"/>
  <c r="AZ317" i="5"/>
  <c r="AZ321" i="5"/>
  <c r="AZ326" i="5"/>
  <c r="AZ331" i="5"/>
  <c r="AZ188" i="5"/>
  <c r="AZ192" i="5"/>
  <c r="AZ227" i="5"/>
  <c r="AZ232" i="5"/>
  <c r="AZ241" i="5"/>
  <c r="AZ248" i="5"/>
  <c r="AZ249" i="5"/>
  <c r="AZ251" i="5"/>
  <c r="AZ255" i="5"/>
  <c r="AZ257" i="5"/>
  <c r="AZ263" i="5"/>
  <c r="AZ265" i="5"/>
  <c r="AZ268" i="5"/>
  <c r="AZ275" i="5"/>
  <c r="AZ283" i="5"/>
  <c r="AZ287" i="5"/>
  <c r="AZ295" i="5"/>
  <c r="AZ301" i="5"/>
  <c r="AZ302" i="5"/>
  <c r="AZ306" i="5"/>
  <c r="AZ309" i="5"/>
  <c r="AZ310" i="5"/>
  <c r="AZ312" i="5"/>
  <c r="AZ314" i="5"/>
  <c r="AZ315" i="5"/>
  <c r="AZ320" i="5"/>
  <c r="AZ322" i="5"/>
  <c r="AZ324" i="5"/>
  <c r="AZ329" i="5"/>
  <c r="AZ330" i="5"/>
  <c r="AZ332" i="5"/>
  <c r="AZ337" i="5"/>
  <c r="AZ339" i="5"/>
  <c r="AZ343" i="5"/>
  <c r="AZ344" i="5"/>
  <c r="AZ346" i="5"/>
  <c r="AZ351" i="5"/>
  <c r="AZ357" i="5"/>
  <c r="AZ358" i="5"/>
  <c r="AZ206" i="5"/>
  <c r="AZ218" i="5"/>
  <c r="AZ224" i="5"/>
  <c r="AZ258" i="5"/>
  <c r="AZ299" i="5"/>
  <c r="AZ316" i="5"/>
  <c r="AZ319" i="5"/>
  <c r="AZ335" i="5"/>
  <c r="AZ338" i="5"/>
  <c r="AZ352" i="5"/>
  <c r="AZ360" i="5"/>
  <c r="AZ367" i="5"/>
  <c r="AZ369" i="5"/>
  <c r="AZ373" i="5"/>
  <c r="AZ376" i="5"/>
  <c r="AZ383" i="5"/>
  <c r="AZ385" i="5"/>
  <c r="AZ393" i="5"/>
  <c r="AZ404" i="5"/>
  <c r="AZ409" i="5"/>
  <c r="AZ410" i="5"/>
  <c r="AZ411" i="5"/>
  <c r="AZ414" i="5"/>
  <c r="AZ420" i="5"/>
  <c r="AZ423" i="5"/>
  <c r="AZ428" i="5"/>
  <c r="AZ431" i="5"/>
  <c r="AZ435" i="5"/>
  <c r="AZ436" i="5"/>
  <c r="AZ440" i="5"/>
  <c r="AZ250" i="5"/>
  <c r="AZ252" i="5"/>
  <c r="AZ260" i="5"/>
  <c r="AZ277" i="5"/>
  <c r="AZ293" i="5"/>
  <c r="AZ304" i="5"/>
  <c r="AZ334" i="5"/>
  <c r="AZ345" i="5"/>
  <c r="AZ350" i="5"/>
  <c r="AZ356" i="5"/>
  <c r="AZ359" i="5"/>
  <c r="AZ361" i="5"/>
  <c r="AZ363" i="5"/>
  <c r="AZ365" i="5"/>
  <c r="AZ370" i="5"/>
  <c r="AZ375" i="5"/>
  <c r="AZ377" i="5"/>
  <c r="AZ380" i="5"/>
  <c r="AZ384" i="5"/>
  <c r="AZ386" i="5"/>
  <c r="AZ389" i="5"/>
  <c r="AZ390" i="5"/>
  <c r="AZ392" i="5"/>
  <c r="AZ399" i="5"/>
  <c r="AZ402" i="5"/>
  <c r="AZ408" i="5"/>
  <c r="AZ413" i="5"/>
  <c r="AZ417" i="5"/>
  <c r="AZ418" i="5"/>
  <c r="AZ419" i="5"/>
  <c r="AZ209" i="5"/>
  <c r="AZ245" i="5"/>
  <c r="AZ254" i="5"/>
  <c r="AZ267" i="5"/>
  <c r="AZ273" i="5"/>
  <c r="AZ280" i="5"/>
  <c r="AZ286" i="5"/>
  <c r="AZ289" i="5"/>
  <c r="AZ292" i="5"/>
  <c r="AZ333" i="5"/>
  <c r="AZ336" i="5"/>
  <c r="AZ340" i="5"/>
  <c r="AZ341" i="5"/>
  <c r="AZ342" i="5"/>
  <c r="AZ348" i="5"/>
  <c r="AZ349" i="5"/>
  <c r="AZ355" i="5"/>
  <c r="AZ364" i="5"/>
  <c r="AZ366" i="5"/>
  <c r="AZ371" i="5"/>
  <c r="AZ374" i="5"/>
  <c r="AZ378" i="5"/>
  <c r="AZ379" i="5"/>
  <c r="AZ388" i="5"/>
  <c r="AZ395" i="5"/>
  <c r="AZ398" i="5"/>
  <c r="AZ400" i="5"/>
  <c r="AZ406" i="5"/>
  <c r="AZ415" i="5"/>
  <c r="AZ416" i="5"/>
  <c r="AZ311" i="5"/>
  <c r="AZ354" i="5"/>
  <c r="AZ362" i="5"/>
  <c r="AZ368" i="5"/>
  <c r="AZ401" i="5"/>
  <c r="AZ422" i="5"/>
  <c r="AZ442" i="5"/>
  <c r="AZ452" i="5"/>
  <c r="AZ457" i="5"/>
  <c r="AZ458" i="5"/>
  <c r="AZ459" i="5"/>
  <c r="AZ460" i="5"/>
  <c r="AZ471" i="5"/>
  <c r="AZ472" i="5"/>
  <c r="AZ475" i="5"/>
  <c r="AZ478" i="5"/>
  <c r="AZ490" i="5"/>
  <c r="AZ496" i="5"/>
  <c r="AZ497" i="5"/>
  <c r="AZ504" i="5"/>
  <c r="AZ515" i="5"/>
  <c r="AZ525" i="5"/>
  <c r="AZ526" i="5"/>
  <c r="AZ531" i="5"/>
  <c r="AZ532" i="5"/>
  <c r="AZ270" i="5"/>
  <c r="AZ325" i="5"/>
  <c r="AZ382" i="5"/>
  <c r="AZ391" i="5"/>
  <c r="AZ394" i="5"/>
  <c r="AZ397" i="5"/>
  <c r="AZ403" i="5"/>
  <c r="AZ412" i="5"/>
  <c r="AZ426" i="5"/>
  <c r="AZ427" i="5"/>
  <c r="AZ429" i="5"/>
  <c r="AZ439" i="5"/>
  <c r="AZ446" i="5"/>
  <c r="AZ447" i="5"/>
  <c r="AZ461" i="5"/>
  <c r="AZ462" i="5"/>
  <c r="AZ465" i="5"/>
  <c r="AZ467" i="5"/>
  <c r="AZ468" i="5"/>
  <c r="AZ470" i="5"/>
  <c r="AZ474" i="5"/>
  <c r="AZ477" i="5"/>
  <c r="AZ480" i="5"/>
  <c r="AZ484" i="5"/>
  <c r="AZ498" i="5"/>
  <c r="AZ506" i="5"/>
  <c r="AZ507" i="5"/>
  <c r="AZ511" i="5"/>
  <c r="AZ512" i="5"/>
  <c r="AZ514" i="5"/>
  <c r="AZ516" i="5"/>
  <c r="AZ519" i="5"/>
  <c r="AZ308" i="5"/>
  <c r="AZ347" i="5"/>
  <c r="AZ353" i="5"/>
  <c r="AZ381" i="5"/>
  <c r="AZ387" i="5"/>
  <c r="AZ396" i="5"/>
  <c r="AZ405" i="5"/>
  <c r="AZ430" i="5"/>
  <c r="AZ432" i="5"/>
  <c r="AZ434" i="5"/>
  <c r="AZ441" i="5"/>
  <c r="AZ443" i="5"/>
  <c r="AZ444" i="5"/>
  <c r="AZ451" i="5"/>
  <c r="AZ453" i="5"/>
  <c r="AZ454" i="5"/>
  <c r="AZ455" i="5"/>
  <c r="AZ463" i="5"/>
  <c r="AZ466" i="5"/>
  <c r="AZ469" i="5"/>
  <c r="AZ473" i="5"/>
  <c r="AZ476" i="5"/>
  <c r="AZ479" i="5"/>
  <c r="AZ482" i="5"/>
  <c r="AZ486" i="5"/>
  <c r="AZ487" i="5"/>
  <c r="AZ488" i="5"/>
  <c r="AZ489" i="5"/>
  <c r="AZ492" i="5"/>
  <c r="AZ493" i="5"/>
  <c r="AZ494" i="5"/>
  <c r="AZ495" i="5"/>
  <c r="AZ499" i="5"/>
  <c r="AZ500" i="5"/>
  <c r="AZ502" i="5"/>
  <c r="AZ503" i="5"/>
  <c r="AZ505" i="5"/>
  <c r="AZ508" i="5"/>
  <c r="AZ509" i="5"/>
  <c r="AZ510" i="5"/>
  <c r="AZ518" i="5"/>
  <c r="AZ520" i="5"/>
  <c r="AZ522" i="5"/>
  <c r="AZ523" i="5"/>
  <c r="AZ530" i="5"/>
  <c r="AZ539" i="5"/>
  <c r="AZ545" i="5"/>
  <c r="AZ554" i="5"/>
  <c r="AZ555" i="5"/>
  <c r="AZ556" i="5"/>
  <c r="AZ229" i="5"/>
  <c r="AZ297" i="5"/>
  <c r="AZ328" i="5"/>
  <c r="AZ421" i="5"/>
  <c r="AZ425" i="5"/>
  <c r="AZ449" i="5"/>
  <c r="AZ456" i="5"/>
  <c r="AZ485" i="5"/>
  <c r="AZ513" i="5"/>
  <c r="AZ517" i="5"/>
  <c r="AZ521" i="5"/>
  <c r="AZ527" i="5"/>
  <c r="AZ529" i="5"/>
  <c r="AZ534" i="5"/>
  <c r="AZ536" i="5"/>
  <c r="AZ540" i="5"/>
  <c r="AZ548" i="5"/>
  <c r="AZ553" i="5"/>
  <c r="AZ557" i="5"/>
  <c r="AZ560" i="5"/>
  <c r="AZ558" i="5"/>
  <c r="AZ433" i="5"/>
  <c r="AZ437" i="5"/>
  <c r="AZ445" i="5"/>
  <c r="AZ448" i="5"/>
  <c r="AZ524" i="5"/>
  <c r="AZ538" i="5"/>
  <c r="AZ543" i="5"/>
  <c r="AZ544" i="5"/>
  <c r="AZ549" i="5"/>
  <c r="AZ550" i="5"/>
  <c r="AZ551" i="5"/>
  <c r="AZ407" i="5"/>
  <c r="AZ424" i="5"/>
  <c r="AZ481" i="5"/>
  <c r="AZ491" i="5"/>
  <c r="AZ501" i="5"/>
  <c r="AZ528" i="5"/>
  <c r="AZ533" i="5"/>
  <c r="AZ535" i="5"/>
  <c r="AZ541" i="5"/>
  <c r="AZ542" i="5"/>
  <c r="AZ547" i="5"/>
  <c r="AZ552" i="5"/>
  <c r="AZ559" i="5"/>
  <c r="AZ372" i="5"/>
  <c r="AZ438" i="5"/>
  <c r="AZ450" i="5"/>
  <c r="AZ464" i="5"/>
  <c r="AZ483" i="5"/>
  <c r="AZ537" i="5"/>
  <c r="AZ546" i="5"/>
  <c r="AZ19" i="5"/>
  <c r="B26" i="5"/>
  <c r="AT29" i="5"/>
  <c r="AT30" i="5"/>
  <c r="AT33" i="5"/>
  <c r="AT35" i="5"/>
  <c r="AT38" i="5"/>
  <c r="AT44" i="5"/>
  <c r="AT46" i="5"/>
  <c r="AT21" i="5"/>
  <c r="AT24" i="5"/>
  <c r="AT28" i="5"/>
  <c r="AT32" i="5"/>
  <c r="AT39" i="5"/>
  <c r="AT42" i="5"/>
  <c r="AT45" i="5"/>
  <c r="AT27" i="5"/>
  <c r="AT31" i="5"/>
  <c r="AT34" i="5"/>
  <c r="AT36" i="5"/>
  <c r="AT40" i="5"/>
  <c r="AT43" i="5"/>
  <c r="AT47" i="5"/>
  <c r="AT48" i="5"/>
  <c r="AT49" i="5"/>
  <c r="AT51" i="5"/>
  <c r="AT25" i="5"/>
  <c r="AT37" i="5"/>
  <c r="AT50" i="5"/>
  <c r="AT53" i="5"/>
  <c r="AT54" i="5"/>
  <c r="AT57" i="5"/>
  <c r="AT61" i="5"/>
  <c r="AT64" i="5"/>
  <c r="AT41" i="5"/>
  <c r="AT56" i="5"/>
  <c r="AT60" i="5"/>
  <c r="AT62" i="5"/>
  <c r="AT65" i="5"/>
  <c r="AT67" i="5"/>
  <c r="AT68" i="5"/>
  <c r="AT20" i="5"/>
  <c r="AT23" i="5"/>
  <c r="AT58" i="5"/>
  <c r="AT59" i="5"/>
  <c r="AT63" i="5"/>
  <c r="AT66" i="5"/>
  <c r="AT26" i="5"/>
  <c r="AT80" i="5"/>
  <c r="AT22" i="5"/>
  <c r="AT69" i="5"/>
  <c r="AT70" i="5"/>
  <c r="AT73" i="5"/>
  <c r="AT52" i="5"/>
  <c r="AT55" i="5"/>
  <c r="AT72" i="5"/>
  <c r="AT76" i="5"/>
  <c r="AT77" i="5"/>
  <c r="AT78" i="5"/>
  <c r="AT81" i="5"/>
  <c r="AT86" i="5"/>
  <c r="AT90" i="5"/>
  <c r="AT93" i="5"/>
  <c r="AT94" i="5"/>
  <c r="AT74" i="5"/>
  <c r="AT87" i="5"/>
  <c r="AT96" i="5"/>
  <c r="AT97" i="5"/>
  <c r="AT98" i="5"/>
  <c r="AT102" i="5"/>
  <c r="AT103" i="5"/>
  <c r="AT105" i="5"/>
  <c r="AT107" i="5"/>
  <c r="AT75" i="5"/>
  <c r="AT79" i="5"/>
  <c r="AT82" i="5"/>
  <c r="AT85" i="5"/>
  <c r="AT88" i="5"/>
  <c r="AT91" i="5"/>
  <c r="AT101" i="5"/>
  <c r="AT108" i="5"/>
  <c r="AT83" i="5"/>
  <c r="AT100" i="5"/>
  <c r="AT113" i="5"/>
  <c r="AT114" i="5"/>
  <c r="AT115" i="5"/>
  <c r="AT121" i="5"/>
  <c r="AT127" i="5"/>
  <c r="AT132" i="5"/>
  <c r="AT136" i="5"/>
  <c r="AT141" i="5"/>
  <c r="AT143" i="5"/>
  <c r="AT145" i="5"/>
  <c r="AT71" i="5"/>
  <c r="AT89" i="5"/>
  <c r="AT104" i="5"/>
  <c r="AT124" i="5"/>
  <c r="AT126" i="5"/>
  <c r="AT142" i="5"/>
  <c r="AT148" i="5"/>
  <c r="AT151" i="5"/>
  <c r="AT156" i="5"/>
  <c r="AT92" i="5"/>
  <c r="AT99" i="5"/>
  <c r="AT106" i="5"/>
  <c r="AT109" i="5"/>
  <c r="AT118" i="5"/>
  <c r="AT119" i="5"/>
  <c r="AT120" i="5"/>
  <c r="AT122" i="5"/>
  <c r="AT130" i="5"/>
  <c r="AT134" i="5"/>
  <c r="AT137" i="5"/>
  <c r="AT138" i="5"/>
  <c r="AT139" i="5"/>
  <c r="AT146" i="5"/>
  <c r="AT152" i="5"/>
  <c r="AT84" i="5"/>
  <c r="AT110" i="5"/>
  <c r="AT116" i="5"/>
  <c r="AT123" i="5"/>
  <c r="AT129" i="5"/>
  <c r="AT135" i="5"/>
  <c r="AT144" i="5"/>
  <c r="AT147" i="5"/>
  <c r="AT150" i="5"/>
  <c r="AT153" i="5"/>
  <c r="AT158" i="5"/>
  <c r="AT171" i="5"/>
  <c r="AT173" i="5"/>
  <c r="AT177" i="5"/>
  <c r="AT178" i="5"/>
  <c r="AT179" i="5"/>
  <c r="AT183" i="5"/>
  <c r="AT187" i="5"/>
  <c r="AT112" i="5"/>
  <c r="AT125" i="5"/>
  <c r="AT128" i="5"/>
  <c r="AT131" i="5"/>
  <c r="AT149" i="5"/>
  <c r="AT161" i="5"/>
  <c r="AT163" i="5"/>
  <c r="AT165" i="5"/>
  <c r="AT169" i="5"/>
  <c r="AT170" i="5"/>
  <c r="AT181" i="5"/>
  <c r="AT182" i="5"/>
  <c r="AT184" i="5"/>
  <c r="AT95" i="5"/>
  <c r="AT111" i="5"/>
  <c r="AT133" i="5"/>
  <c r="AT140" i="5"/>
  <c r="AT155" i="5"/>
  <c r="AT157" i="5"/>
  <c r="AT160" i="5"/>
  <c r="AT162" i="5"/>
  <c r="AT167" i="5"/>
  <c r="AT172" i="5"/>
  <c r="AT175" i="5"/>
  <c r="AT185" i="5"/>
  <c r="AT186" i="5"/>
  <c r="AT189" i="5"/>
  <c r="AT190" i="5"/>
  <c r="AT194" i="5"/>
  <c r="AT197" i="5"/>
  <c r="AT198" i="5"/>
  <c r="AT199" i="5"/>
  <c r="AT201" i="5"/>
  <c r="AT206" i="5"/>
  <c r="AT154" i="5"/>
  <c r="AT176" i="5"/>
  <c r="AT193" i="5"/>
  <c r="AT208" i="5"/>
  <c r="AT215" i="5"/>
  <c r="AT218" i="5"/>
  <c r="AT223" i="5"/>
  <c r="AT227" i="5"/>
  <c r="AT234" i="5"/>
  <c r="AT239" i="5"/>
  <c r="AT245" i="5"/>
  <c r="AT247" i="5"/>
  <c r="AT248" i="5"/>
  <c r="AT164" i="5"/>
  <c r="AT192" i="5"/>
  <c r="AT207" i="5"/>
  <c r="AT209" i="5"/>
  <c r="AT211" i="5"/>
  <c r="AT216" i="5"/>
  <c r="AT220" i="5"/>
  <c r="AT224" i="5"/>
  <c r="AT229" i="5"/>
  <c r="AT232" i="5"/>
  <c r="AT242" i="5"/>
  <c r="AT243" i="5"/>
  <c r="AT159" i="5"/>
  <c r="AT166" i="5"/>
  <c r="AT188" i="5"/>
  <c r="AT191" i="5"/>
  <c r="AT195" i="5"/>
  <c r="AT212" i="5"/>
  <c r="AT213" i="5"/>
  <c r="AT217" i="5"/>
  <c r="AT221" i="5"/>
  <c r="AT222" i="5"/>
  <c r="AT225" i="5"/>
  <c r="AT230" i="5"/>
  <c r="AT233" i="5"/>
  <c r="AT235" i="5"/>
  <c r="AT236" i="5"/>
  <c r="AT238" i="5"/>
  <c r="AT240" i="5"/>
  <c r="AT214" i="5"/>
  <c r="AT228" i="5"/>
  <c r="AT249" i="5"/>
  <c r="AT251" i="5"/>
  <c r="AT252" i="5"/>
  <c r="AT254" i="5"/>
  <c r="AT255" i="5"/>
  <c r="AT257" i="5"/>
  <c r="AT260" i="5"/>
  <c r="AT263" i="5"/>
  <c r="AT265" i="5"/>
  <c r="AT273" i="5"/>
  <c r="AT274" i="5"/>
  <c r="AT277" i="5"/>
  <c r="AT280" i="5"/>
  <c r="AT283" i="5"/>
  <c r="AT287" i="5"/>
  <c r="AT293" i="5"/>
  <c r="AT295" i="5"/>
  <c r="AT301" i="5"/>
  <c r="AT306" i="5"/>
  <c r="AT309" i="5"/>
  <c r="AT312" i="5"/>
  <c r="AT314" i="5"/>
  <c r="AT315" i="5"/>
  <c r="AT320" i="5"/>
  <c r="AT322" i="5"/>
  <c r="AT324" i="5"/>
  <c r="AT332" i="5"/>
  <c r="AT203" i="5"/>
  <c r="AT205" i="5"/>
  <c r="AT210" i="5"/>
  <c r="AT219" i="5"/>
  <c r="AT241" i="5"/>
  <c r="AT246" i="5"/>
  <c r="AT250" i="5"/>
  <c r="AT258" i="5"/>
  <c r="AT266" i="5"/>
  <c r="AT270" i="5"/>
  <c r="AT276" i="5"/>
  <c r="AT278" i="5"/>
  <c r="AT279" i="5"/>
  <c r="AT282" i="5"/>
  <c r="AT286" i="5"/>
  <c r="AT289" i="5"/>
  <c r="AT292" i="5"/>
  <c r="AT297" i="5"/>
  <c r="AT299" i="5"/>
  <c r="AT304" i="5"/>
  <c r="AT308" i="5"/>
  <c r="AT311" i="5"/>
  <c r="AT316" i="5"/>
  <c r="AT319" i="5"/>
  <c r="AT325" i="5"/>
  <c r="AT327" i="5"/>
  <c r="AT328" i="5"/>
  <c r="AT117" i="5"/>
  <c r="AT196" i="5"/>
  <c r="AT200" i="5"/>
  <c r="AT237" i="5"/>
  <c r="AT244" i="5"/>
  <c r="AT253" i="5"/>
  <c r="AT259" i="5"/>
  <c r="AT261" i="5"/>
  <c r="AT264" i="5"/>
  <c r="AT269" i="5"/>
  <c r="AT271" i="5"/>
  <c r="AT281" i="5"/>
  <c r="AT285" i="5"/>
  <c r="AT288" i="5"/>
  <c r="AT291" i="5"/>
  <c r="AT296" i="5"/>
  <c r="AT300" i="5"/>
  <c r="AT303" i="5"/>
  <c r="AT307" i="5"/>
  <c r="AT313" i="5"/>
  <c r="AT318" i="5"/>
  <c r="AT323" i="5"/>
  <c r="AT335" i="5"/>
  <c r="AT336" i="5"/>
  <c r="AT338" i="5"/>
  <c r="AT342" i="5"/>
  <c r="AT343" i="5"/>
  <c r="AT345" i="5"/>
  <c r="AT348" i="5"/>
  <c r="AT349" i="5"/>
  <c r="AT354" i="5"/>
  <c r="AT356" i="5"/>
  <c r="AT359" i="5"/>
  <c r="AT174" i="5"/>
  <c r="AT231" i="5"/>
  <c r="AT284" i="5"/>
  <c r="AT290" i="5"/>
  <c r="AT310" i="5"/>
  <c r="AT330" i="5"/>
  <c r="AT341" i="5"/>
  <c r="AT364" i="5"/>
  <c r="AT366" i="5"/>
  <c r="AT374" i="5"/>
  <c r="AT378" i="5"/>
  <c r="AT382" i="5"/>
  <c r="AT388" i="5"/>
  <c r="AT394" i="5"/>
  <c r="AT397" i="5"/>
  <c r="AT398" i="5"/>
  <c r="AT400" i="5"/>
  <c r="AT401" i="5"/>
  <c r="AT403" i="5"/>
  <c r="AT406" i="5"/>
  <c r="AT415" i="5"/>
  <c r="AT420" i="5"/>
  <c r="AT421" i="5"/>
  <c r="AT424" i="5"/>
  <c r="AT429" i="5"/>
  <c r="AT433" i="5"/>
  <c r="AT436" i="5"/>
  <c r="AT437" i="5"/>
  <c r="AT180" i="5"/>
  <c r="AT226" i="5"/>
  <c r="AT262" i="5"/>
  <c r="AT267" i="5"/>
  <c r="AT268" i="5"/>
  <c r="AT298" i="5"/>
  <c r="AT321" i="5"/>
  <c r="AT326" i="5"/>
  <c r="AT329" i="5"/>
  <c r="AT333" i="5"/>
  <c r="AT340" i="5"/>
  <c r="AT355" i="5"/>
  <c r="AT362" i="5"/>
  <c r="AT367" i="5"/>
  <c r="AT368" i="5"/>
  <c r="AT372" i="5"/>
  <c r="AT376" i="5"/>
  <c r="AT381" i="5"/>
  <c r="AT386" i="5"/>
  <c r="AT387" i="5"/>
  <c r="AT391" i="5"/>
  <c r="AT393" i="5"/>
  <c r="AT396" i="5"/>
  <c r="AT405" i="5"/>
  <c r="AT407" i="5"/>
  <c r="AT409" i="5"/>
  <c r="AT410" i="5"/>
  <c r="AT202" i="5"/>
  <c r="AT317" i="5"/>
  <c r="AT339" i="5"/>
  <c r="AT347" i="5"/>
  <c r="AT351" i="5"/>
  <c r="AT352" i="5"/>
  <c r="AT353" i="5"/>
  <c r="AT360" i="5"/>
  <c r="AT361" i="5"/>
  <c r="AT369" i="5"/>
  <c r="AT373" i="5"/>
  <c r="AT375" i="5"/>
  <c r="AT383" i="5"/>
  <c r="AT385" i="5"/>
  <c r="AT390" i="5"/>
  <c r="AT402" i="5"/>
  <c r="AT404" i="5"/>
  <c r="AT411" i="5"/>
  <c r="AT414" i="5"/>
  <c r="AT417" i="5"/>
  <c r="AT418" i="5"/>
  <c r="AT168" i="5"/>
  <c r="AT256" i="5"/>
  <c r="AT275" i="5"/>
  <c r="AT305" i="5"/>
  <c r="AT334" i="5"/>
  <c r="AT344" i="5"/>
  <c r="AT346" i="5"/>
  <c r="AT350" i="5"/>
  <c r="AT371" i="5"/>
  <c r="AT379" i="5"/>
  <c r="AT412" i="5"/>
  <c r="AT419" i="5"/>
  <c r="AT427" i="5"/>
  <c r="AT431" i="5"/>
  <c r="AT438" i="5"/>
  <c r="AT443" i="5"/>
  <c r="AT445" i="5"/>
  <c r="AT450" i="5"/>
  <c r="AT451" i="5"/>
  <c r="AT466" i="5"/>
  <c r="AT469" i="5"/>
  <c r="AT481" i="5"/>
  <c r="AT487" i="5"/>
  <c r="AT488" i="5"/>
  <c r="AT489" i="5"/>
  <c r="AT493" i="5"/>
  <c r="AT494" i="5"/>
  <c r="AT499" i="5"/>
  <c r="AT502" i="5"/>
  <c r="AT508" i="5"/>
  <c r="AT510" i="5"/>
  <c r="AT513" i="5"/>
  <c r="AT518" i="5"/>
  <c r="AT522" i="5"/>
  <c r="AT530" i="5"/>
  <c r="AT294" i="5"/>
  <c r="AT331" i="5"/>
  <c r="AT357" i="5"/>
  <c r="AT370" i="5"/>
  <c r="AT384" i="5"/>
  <c r="AT408" i="5"/>
  <c r="AT422" i="5"/>
  <c r="AT425" i="5"/>
  <c r="AT434" i="5"/>
  <c r="AT435" i="5"/>
  <c r="AT442" i="5"/>
  <c r="AT447" i="5"/>
  <c r="AT448" i="5"/>
  <c r="AT456" i="5"/>
  <c r="AT458" i="5"/>
  <c r="AT460" i="5"/>
  <c r="AT464" i="5"/>
  <c r="AT472" i="5"/>
  <c r="AT475" i="5"/>
  <c r="AT483" i="5"/>
  <c r="AT485" i="5"/>
  <c r="AT490" i="5"/>
  <c r="AT491" i="5"/>
  <c r="AT496" i="5"/>
  <c r="AT497" i="5"/>
  <c r="AT501" i="5"/>
  <c r="AT515" i="5"/>
  <c r="AT516" i="5"/>
  <c r="AT517" i="5"/>
  <c r="AT272" i="5"/>
  <c r="AT302" i="5"/>
  <c r="AT337" i="5"/>
  <c r="AT363" i="5"/>
  <c r="AT399" i="5"/>
  <c r="AT423" i="5"/>
  <c r="AT439" i="5"/>
  <c r="AT452" i="5"/>
  <c r="AT453" i="5"/>
  <c r="AT457" i="5"/>
  <c r="AT459" i="5"/>
  <c r="AT462" i="5"/>
  <c r="AT468" i="5"/>
  <c r="AT471" i="5"/>
  <c r="AT474" i="5"/>
  <c r="AT477" i="5"/>
  <c r="AT478" i="5"/>
  <c r="AT480" i="5"/>
  <c r="AT486" i="5"/>
  <c r="AT498" i="5"/>
  <c r="AT504" i="5"/>
  <c r="AT505" i="5"/>
  <c r="AT507" i="5"/>
  <c r="AT512" i="5"/>
  <c r="AT514" i="5"/>
  <c r="AT524" i="5"/>
  <c r="AT525" i="5"/>
  <c r="AT531" i="5"/>
  <c r="AT543" i="5"/>
  <c r="AT546" i="5"/>
  <c r="AT548" i="5"/>
  <c r="AT549" i="5"/>
  <c r="AT550" i="5"/>
  <c r="AT551" i="5"/>
  <c r="AT553" i="5"/>
  <c r="AT557" i="5"/>
  <c r="AT559" i="5"/>
  <c r="AT204" i="5"/>
  <c r="AT380" i="5"/>
  <c r="AT392" i="5"/>
  <c r="AT416" i="5"/>
  <c r="AT463" i="5"/>
  <c r="AT473" i="5"/>
  <c r="AT476" i="5"/>
  <c r="AT479" i="5"/>
  <c r="AT482" i="5"/>
  <c r="AT492" i="5"/>
  <c r="AT506" i="5"/>
  <c r="AT509" i="5"/>
  <c r="AT520" i="5"/>
  <c r="AT528" i="5"/>
  <c r="AT535" i="5"/>
  <c r="AT539" i="5"/>
  <c r="AT541" i="5"/>
  <c r="AT542" i="5"/>
  <c r="AT547" i="5"/>
  <c r="AT554" i="5"/>
  <c r="AT441" i="5"/>
  <c r="AT444" i="5"/>
  <c r="AT455" i="5"/>
  <c r="AT465" i="5"/>
  <c r="AT484" i="5"/>
  <c r="AT495" i="5"/>
  <c r="AT519" i="5"/>
  <c r="AT526" i="5"/>
  <c r="AT533" i="5"/>
  <c r="AT545" i="5"/>
  <c r="AT552" i="5"/>
  <c r="AT555" i="5"/>
  <c r="AT532" i="5"/>
  <c r="AT536" i="5"/>
  <c r="AT540" i="5"/>
  <c r="AT358" i="5"/>
  <c r="AT365" i="5"/>
  <c r="AT377" i="5"/>
  <c r="AT389" i="5"/>
  <c r="AT395" i="5"/>
  <c r="AT413" i="5"/>
  <c r="AT426" i="5"/>
  <c r="AT428" i="5"/>
  <c r="AT430" i="5"/>
  <c r="AT432" i="5"/>
  <c r="AT454" i="5"/>
  <c r="AT461" i="5"/>
  <c r="AT467" i="5"/>
  <c r="AT511" i="5"/>
  <c r="AT523" i="5"/>
  <c r="AT529" i="5"/>
  <c r="AT537" i="5"/>
  <c r="AT556" i="5"/>
  <c r="AT558" i="5"/>
  <c r="AT560" i="5"/>
  <c r="AT440" i="5"/>
  <c r="AT446" i="5"/>
  <c r="AT449" i="5"/>
  <c r="AT470" i="5"/>
  <c r="AT500" i="5"/>
  <c r="AT503" i="5"/>
  <c r="AT521" i="5"/>
  <c r="AT527" i="5"/>
  <c r="AT534" i="5"/>
  <c r="AT538" i="5"/>
  <c r="AT544" i="5"/>
  <c r="AT19" i="5"/>
  <c r="B25" i="5"/>
  <c r="B41" i="5"/>
  <c r="AW22" i="5"/>
  <c r="AW23" i="5"/>
  <c r="AW25" i="5"/>
  <c r="AW26" i="5"/>
  <c r="AW31" i="5"/>
  <c r="AW37" i="5"/>
  <c r="AW43" i="5"/>
  <c r="AW48" i="5"/>
  <c r="AW20" i="5"/>
  <c r="AW29" i="5"/>
  <c r="AW30" i="5"/>
  <c r="AW33" i="5"/>
  <c r="AW38" i="5"/>
  <c r="AW41" i="5"/>
  <c r="AW44" i="5"/>
  <c r="AW46" i="5"/>
  <c r="AW21" i="5"/>
  <c r="AW24" i="5"/>
  <c r="AW28" i="5"/>
  <c r="AW32" i="5"/>
  <c r="AW35" i="5"/>
  <c r="AW39" i="5"/>
  <c r="AW42" i="5"/>
  <c r="AW45" i="5"/>
  <c r="AW52" i="5"/>
  <c r="AW63" i="5"/>
  <c r="AW69" i="5"/>
  <c r="AW34" i="5"/>
  <c r="AW51" i="5"/>
  <c r="AW53" i="5"/>
  <c r="AW55" i="5"/>
  <c r="AW59" i="5"/>
  <c r="AW61" i="5"/>
  <c r="AW66" i="5"/>
  <c r="AW27" i="5"/>
  <c r="AW36" i="5"/>
  <c r="AW47" i="5"/>
  <c r="AW49" i="5"/>
  <c r="AW50" i="5"/>
  <c r="AW54" i="5"/>
  <c r="AW56" i="5"/>
  <c r="AW57" i="5"/>
  <c r="AW62" i="5"/>
  <c r="AW65" i="5"/>
  <c r="AW71" i="5"/>
  <c r="AW75" i="5"/>
  <c r="AW79" i="5"/>
  <c r="AW40" i="5"/>
  <c r="AW60" i="5"/>
  <c r="AW76" i="5"/>
  <c r="AW77" i="5"/>
  <c r="AW58" i="5"/>
  <c r="AW68" i="5"/>
  <c r="AW73" i="5"/>
  <c r="AW74" i="5"/>
  <c r="AW83" i="5"/>
  <c r="AW88" i="5"/>
  <c r="AW91" i="5"/>
  <c r="AW67" i="5"/>
  <c r="AW70" i="5"/>
  <c r="AW72" i="5"/>
  <c r="AW82" i="5"/>
  <c r="AW78" i="5"/>
  <c r="AW81" i="5"/>
  <c r="AW85" i="5"/>
  <c r="AW93" i="5"/>
  <c r="AW94" i="5"/>
  <c r="AW99" i="5"/>
  <c r="AW101" i="5"/>
  <c r="AW104" i="5"/>
  <c r="AW109" i="5"/>
  <c r="AW84" i="5"/>
  <c r="AW89" i="5"/>
  <c r="AW90" i="5"/>
  <c r="AW92" i="5"/>
  <c r="AW95" i="5"/>
  <c r="AW96" i="5"/>
  <c r="AW98" i="5"/>
  <c r="AW100" i="5"/>
  <c r="AW107" i="5"/>
  <c r="AW97" i="5"/>
  <c r="AW103" i="5"/>
  <c r="AW106" i="5"/>
  <c r="AW111" i="5"/>
  <c r="AW112" i="5"/>
  <c r="AW117" i="5"/>
  <c r="AW118" i="5"/>
  <c r="AW120" i="5"/>
  <c r="AW125" i="5"/>
  <c r="AW126" i="5"/>
  <c r="AW128" i="5"/>
  <c r="AW135" i="5"/>
  <c r="AW138" i="5"/>
  <c r="AW146" i="5"/>
  <c r="AW149" i="5"/>
  <c r="AW152" i="5"/>
  <c r="AW158" i="5"/>
  <c r="AW161" i="5"/>
  <c r="AW87" i="5"/>
  <c r="AW115" i="5"/>
  <c r="AW116" i="5"/>
  <c r="AW122" i="5"/>
  <c r="AW127" i="5"/>
  <c r="AW130" i="5"/>
  <c r="AW132" i="5"/>
  <c r="AW134" i="5"/>
  <c r="AW136" i="5"/>
  <c r="AW141" i="5"/>
  <c r="AW143" i="5"/>
  <c r="AW145" i="5"/>
  <c r="AW153" i="5"/>
  <c r="AW157" i="5"/>
  <c r="AW64" i="5"/>
  <c r="AW80" i="5"/>
  <c r="AW86" i="5"/>
  <c r="AW102" i="5"/>
  <c r="AW105" i="5"/>
  <c r="AW108" i="5"/>
  <c r="AW110" i="5"/>
  <c r="AW114" i="5"/>
  <c r="AW121" i="5"/>
  <c r="AW123" i="5"/>
  <c r="AW129" i="5"/>
  <c r="AW131" i="5"/>
  <c r="AW133" i="5"/>
  <c r="AW140" i="5"/>
  <c r="AW144" i="5"/>
  <c r="AW147" i="5"/>
  <c r="AW150" i="5"/>
  <c r="AW151" i="5"/>
  <c r="AW154" i="5"/>
  <c r="AW155" i="5"/>
  <c r="AW113" i="5"/>
  <c r="AW139" i="5"/>
  <c r="AW159" i="5"/>
  <c r="AW164" i="5"/>
  <c r="AW166" i="5"/>
  <c r="AW168" i="5"/>
  <c r="AW174" i="5"/>
  <c r="AW176" i="5"/>
  <c r="AW180" i="5"/>
  <c r="AW185" i="5"/>
  <c r="AW186" i="5"/>
  <c r="AW156" i="5"/>
  <c r="AW173" i="5"/>
  <c r="AW178" i="5"/>
  <c r="AW179" i="5"/>
  <c r="AW183" i="5"/>
  <c r="AW119" i="5"/>
  <c r="AW137" i="5"/>
  <c r="AW165" i="5"/>
  <c r="AW170" i="5"/>
  <c r="AW171" i="5"/>
  <c r="AW182" i="5"/>
  <c r="AW184" i="5"/>
  <c r="AW188" i="5"/>
  <c r="AW191" i="5"/>
  <c r="AW196" i="5"/>
  <c r="AW200" i="5"/>
  <c r="AW205" i="5"/>
  <c r="AW207" i="5"/>
  <c r="AW124" i="5"/>
  <c r="AW142" i="5"/>
  <c r="AW148" i="5"/>
  <c r="AW160" i="5"/>
  <c r="AW162" i="5"/>
  <c r="AW194" i="5"/>
  <c r="AW195" i="5"/>
  <c r="AW203" i="5"/>
  <c r="AW204" i="5"/>
  <c r="AW210" i="5"/>
  <c r="AW214" i="5"/>
  <c r="AW217" i="5"/>
  <c r="AW219" i="5"/>
  <c r="AW222" i="5"/>
  <c r="AW226" i="5"/>
  <c r="AW228" i="5"/>
  <c r="AW235" i="5"/>
  <c r="AW238" i="5"/>
  <c r="AW240" i="5"/>
  <c r="AW242" i="5"/>
  <c r="AW244" i="5"/>
  <c r="AW167" i="5"/>
  <c r="AW197" i="5"/>
  <c r="AW199" i="5"/>
  <c r="AW202" i="5"/>
  <c r="AW215" i="5"/>
  <c r="AW231" i="5"/>
  <c r="AW234" i="5"/>
  <c r="AW237" i="5"/>
  <c r="AW239" i="5"/>
  <c r="AW169" i="5"/>
  <c r="AW172" i="5"/>
  <c r="AW175" i="5"/>
  <c r="AW181" i="5"/>
  <c r="AW187" i="5"/>
  <c r="AW189" i="5"/>
  <c r="AW192" i="5"/>
  <c r="AW193" i="5"/>
  <c r="AW198" i="5"/>
  <c r="AW201" i="5"/>
  <c r="AW206" i="5"/>
  <c r="AW209" i="5"/>
  <c r="AW216" i="5"/>
  <c r="AW218" i="5"/>
  <c r="AW220" i="5"/>
  <c r="AW223" i="5"/>
  <c r="AW224" i="5"/>
  <c r="AW227" i="5"/>
  <c r="AW229" i="5"/>
  <c r="AW232" i="5"/>
  <c r="AW241" i="5"/>
  <c r="AW163" i="5"/>
  <c r="AW208" i="5"/>
  <c r="AW211" i="5"/>
  <c r="AW233" i="5"/>
  <c r="AW236" i="5"/>
  <c r="AW243" i="5"/>
  <c r="AW247" i="5"/>
  <c r="AW253" i="5"/>
  <c r="AW256" i="5"/>
  <c r="AW262" i="5"/>
  <c r="AW269" i="5"/>
  <c r="AW272" i="5"/>
  <c r="AW278" i="5"/>
  <c r="AW284" i="5"/>
  <c r="AW290" i="5"/>
  <c r="AW294" i="5"/>
  <c r="AW298" i="5"/>
  <c r="AW302" i="5"/>
  <c r="AW305" i="5"/>
  <c r="AW310" i="5"/>
  <c r="AW317" i="5"/>
  <c r="AW321" i="5"/>
  <c r="AW326" i="5"/>
  <c r="AW329" i="5"/>
  <c r="AW330" i="5"/>
  <c r="AW331" i="5"/>
  <c r="AW177" i="5"/>
  <c r="AW225" i="5"/>
  <c r="AW230" i="5"/>
  <c r="AW248" i="5"/>
  <c r="AW249" i="5"/>
  <c r="AW251" i="5"/>
  <c r="AW254" i="5"/>
  <c r="AW255" i="5"/>
  <c r="AW257" i="5"/>
  <c r="AW263" i="5"/>
  <c r="AW265" i="5"/>
  <c r="AW268" i="5"/>
  <c r="AW275" i="5"/>
  <c r="AW280" i="5"/>
  <c r="AW283" i="5"/>
  <c r="AW287" i="5"/>
  <c r="AW293" i="5"/>
  <c r="AW295" i="5"/>
  <c r="AW301" i="5"/>
  <c r="AW306" i="5"/>
  <c r="AW309" i="5"/>
  <c r="AW312" i="5"/>
  <c r="AW314" i="5"/>
  <c r="AW315" i="5"/>
  <c r="AW320" i="5"/>
  <c r="AW322" i="5"/>
  <c r="AW324" i="5"/>
  <c r="AW332" i="5"/>
  <c r="AW190" i="5"/>
  <c r="AW213" i="5"/>
  <c r="AW221" i="5"/>
  <c r="AW245" i="5"/>
  <c r="AW250" i="5"/>
  <c r="AW252" i="5"/>
  <c r="AW258" i="5"/>
  <c r="AW260" i="5"/>
  <c r="AW267" i="5"/>
  <c r="AW270" i="5"/>
  <c r="AW273" i="5"/>
  <c r="AW276" i="5"/>
  <c r="AW277" i="5"/>
  <c r="AW282" i="5"/>
  <c r="AW286" i="5"/>
  <c r="AW289" i="5"/>
  <c r="AW292" i="5"/>
  <c r="AW297" i="5"/>
  <c r="AW299" i="5"/>
  <c r="AW304" i="5"/>
  <c r="AW308" i="5"/>
  <c r="AW311" i="5"/>
  <c r="AW316" i="5"/>
  <c r="AW319" i="5"/>
  <c r="AW325" i="5"/>
  <c r="AW328" i="5"/>
  <c r="AW333" i="5"/>
  <c r="AW334" i="5"/>
  <c r="AW340" i="5"/>
  <c r="AW347" i="5"/>
  <c r="AW353" i="5"/>
  <c r="AW355" i="5"/>
  <c r="AW212" i="5"/>
  <c r="AW246" i="5"/>
  <c r="AW281" i="5"/>
  <c r="AW296" i="5"/>
  <c r="AW307" i="5"/>
  <c r="AW313" i="5"/>
  <c r="AW327" i="5"/>
  <c r="AW337" i="5"/>
  <c r="AW344" i="5"/>
  <c r="AW345" i="5"/>
  <c r="AW346" i="5"/>
  <c r="AW350" i="5"/>
  <c r="AW356" i="5"/>
  <c r="AW357" i="5"/>
  <c r="AW359" i="5"/>
  <c r="AW363" i="5"/>
  <c r="AW365" i="5"/>
  <c r="AW370" i="5"/>
  <c r="AW371" i="5"/>
  <c r="AW377" i="5"/>
  <c r="AW379" i="5"/>
  <c r="AW380" i="5"/>
  <c r="AW384" i="5"/>
  <c r="AW389" i="5"/>
  <c r="AW390" i="5"/>
  <c r="AW392" i="5"/>
  <c r="AW399" i="5"/>
  <c r="AW408" i="5"/>
  <c r="AW412" i="5"/>
  <c r="AW413" i="5"/>
  <c r="AW416" i="5"/>
  <c r="AW419" i="5"/>
  <c r="AW426" i="5"/>
  <c r="AW427" i="5"/>
  <c r="AW432" i="5"/>
  <c r="AW434" i="5"/>
  <c r="AW439" i="5"/>
  <c r="AW271" i="5"/>
  <c r="AW274" i="5"/>
  <c r="AW318" i="5"/>
  <c r="AW336" i="5"/>
  <c r="AW341" i="5"/>
  <c r="AW342" i="5"/>
  <c r="AW348" i="5"/>
  <c r="AW349" i="5"/>
  <c r="AW354" i="5"/>
  <c r="AW358" i="5"/>
  <c r="AW364" i="5"/>
  <c r="AW366" i="5"/>
  <c r="AW374" i="5"/>
  <c r="AW378" i="5"/>
  <c r="AW388" i="5"/>
  <c r="AW394" i="5"/>
  <c r="AW395" i="5"/>
  <c r="AW398" i="5"/>
  <c r="AW400" i="5"/>
  <c r="AW406" i="5"/>
  <c r="AW415" i="5"/>
  <c r="AW420" i="5"/>
  <c r="AW259" i="5"/>
  <c r="AW264" i="5"/>
  <c r="AW300" i="5"/>
  <c r="AW303" i="5"/>
  <c r="AW323" i="5"/>
  <c r="AW343" i="5"/>
  <c r="AW362" i="5"/>
  <c r="AW368" i="5"/>
  <c r="AW372" i="5"/>
  <c r="AW376" i="5"/>
  <c r="AW381" i="5"/>
  <c r="AW382" i="5"/>
  <c r="AW386" i="5"/>
  <c r="AW387" i="5"/>
  <c r="AW391" i="5"/>
  <c r="AW396" i="5"/>
  <c r="AW397" i="5"/>
  <c r="AW401" i="5"/>
  <c r="AW403" i="5"/>
  <c r="AW405" i="5"/>
  <c r="AW407" i="5"/>
  <c r="AW409" i="5"/>
  <c r="AW410" i="5"/>
  <c r="AW338" i="5"/>
  <c r="AW352" i="5"/>
  <c r="AW385" i="5"/>
  <c r="AW428" i="5"/>
  <c r="AW429" i="5"/>
  <c r="AW430" i="5"/>
  <c r="AW440" i="5"/>
  <c r="AW444" i="5"/>
  <c r="AW446" i="5"/>
  <c r="AW453" i="5"/>
  <c r="AW461" i="5"/>
  <c r="AW465" i="5"/>
  <c r="AW467" i="5"/>
  <c r="AW470" i="5"/>
  <c r="AW476" i="5"/>
  <c r="AW477" i="5"/>
  <c r="AW479" i="5"/>
  <c r="AW480" i="5"/>
  <c r="AW482" i="5"/>
  <c r="AW484" i="5"/>
  <c r="AW492" i="5"/>
  <c r="AW495" i="5"/>
  <c r="AW500" i="5"/>
  <c r="AW505" i="5"/>
  <c r="AW506" i="5"/>
  <c r="AW511" i="5"/>
  <c r="AW512" i="5"/>
  <c r="AW519" i="5"/>
  <c r="AW523" i="5"/>
  <c r="AW537" i="5"/>
  <c r="AW288" i="5"/>
  <c r="AW361" i="5"/>
  <c r="AW367" i="5"/>
  <c r="AW373" i="5"/>
  <c r="AW418" i="5"/>
  <c r="AW431" i="5"/>
  <c r="AW436" i="5"/>
  <c r="AW438" i="5"/>
  <c r="AW441" i="5"/>
  <c r="AW443" i="5"/>
  <c r="AW449" i="5"/>
  <c r="AW450" i="5"/>
  <c r="AW451" i="5"/>
  <c r="AW454" i="5"/>
  <c r="AW455" i="5"/>
  <c r="AW463" i="5"/>
  <c r="AW466" i="5"/>
  <c r="AW469" i="5"/>
  <c r="AW473" i="5"/>
  <c r="AW481" i="5"/>
  <c r="AW487" i="5"/>
  <c r="AW488" i="5"/>
  <c r="AW489" i="5"/>
  <c r="AW493" i="5"/>
  <c r="AW494" i="5"/>
  <c r="AW499" i="5"/>
  <c r="AW502" i="5"/>
  <c r="AW503" i="5"/>
  <c r="AW508" i="5"/>
  <c r="AW509" i="5"/>
  <c r="AW510" i="5"/>
  <c r="AW513" i="5"/>
  <c r="AW518" i="5"/>
  <c r="AW520" i="5"/>
  <c r="AW521" i="5"/>
  <c r="AW266" i="5"/>
  <c r="AW335" i="5"/>
  <c r="AW339" i="5"/>
  <c r="AW351" i="5"/>
  <c r="AW375" i="5"/>
  <c r="AW393" i="5"/>
  <c r="AW402" i="5"/>
  <c r="AW411" i="5"/>
  <c r="AW414" i="5"/>
  <c r="AW417" i="5"/>
  <c r="AW421" i="5"/>
  <c r="AW422" i="5"/>
  <c r="AW424" i="5"/>
  <c r="AW425" i="5"/>
  <c r="AW433" i="5"/>
  <c r="AW435" i="5"/>
  <c r="AW437" i="5"/>
  <c r="AW442" i="5"/>
  <c r="AW445" i="5"/>
  <c r="AW448" i="5"/>
  <c r="AW456" i="5"/>
  <c r="AW458" i="5"/>
  <c r="AW460" i="5"/>
  <c r="AW464" i="5"/>
  <c r="AW472" i="5"/>
  <c r="AW483" i="5"/>
  <c r="AW485" i="5"/>
  <c r="AW490" i="5"/>
  <c r="AW491" i="5"/>
  <c r="AW496" i="5"/>
  <c r="AW501" i="5"/>
  <c r="AW517" i="5"/>
  <c r="AW526" i="5"/>
  <c r="AW527" i="5"/>
  <c r="AW533" i="5"/>
  <c r="AW534" i="5"/>
  <c r="AW536" i="5"/>
  <c r="AW538" i="5"/>
  <c r="AW540" i="5"/>
  <c r="AW542" i="5"/>
  <c r="AW544" i="5"/>
  <c r="AW547" i="5"/>
  <c r="AW552" i="5"/>
  <c r="AW558" i="5"/>
  <c r="AW261" i="5"/>
  <c r="AW279" i="5"/>
  <c r="AW285" i="5"/>
  <c r="AW291" i="5"/>
  <c r="AW404" i="5"/>
  <c r="AW423" i="5"/>
  <c r="AW452" i="5"/>
  <c r="AW459" i="5"/>
  <c r="AW524" i="5"/>
  <c r="AW532" i="5"/>
  <c r="AW549" i="5"/>
  <c r="AW550" i="5"/>
  <c r="AW559" i="5"/>
  <c r="AW556" i="5"/>
  <c r="AW369" i="5"/>
  <c r="AW462" i="5"/>
  <c r="AW468" i="5"/>
  <c r="AW516" i="5"/>
  <c r="AW522" i="5"/>
  <c r="AW528" i="5"/>
  <c r="AW530" i="5"/>
  <c r="AW535" i="5"/>
  <c r="AW539" i="5"/>
  <c r="AW541" i="5"/>
  <c r="AW546" i="5"/>
  <c r="AW551" i="5"/>
  <c r="AW554" i="5"/>
  <c r="AW548" i="5"/>
  <c r="AW560" i="5"/>
  <c r="AW383" i="5"/>
  <c r="AW447" i="5"/>
  <c r="AW457" i="5"/>
  <c r="AW471" i="5"/>
  <c r="AW475" i="5"/>
  <c r="AW478" i="5"/>
  <c r="AW486" i="5"/>
  <c r="AW498" i="5"/>
  <c r="AW504" i="5"/>
  <c r="AW515" i="5"/>
  <c r="AW525" i="5"/>
  <c r="AW531" i="5"/>
  <c r="AW555" i="5"/>
  <c r="AW557" i="5"/>
  <c r="AW360" i="5"/>
  <c r="AW474" i="5"/>
  <c r="AW497" i="5"/>
  <c r="AW507" i="5"/>
  <c r="AW514" i="5"/>
  <c r="AW529" i="5"/>
  <c r="AW543" i="5"/>
  <c r="AW545" i="5"/>
  <c r="AW553" i="5"/>
  <c r="AW19" i="5"/>
  <c r="B40" i="2"/>
  <c r="B22" i="3"/>
  <c r="B28" i="2"/>
  <c r="B10" i="2"/>
  <c r="B14" i="3"/>
  <c r="B12" i="3"/>
  <c r="B10" i="3"/>
  <c r="B14" i="2"/>
  <c r="B13" i="2"/>
  <c r="B9" i="2"/>
  <c r="B8" i="2"/>
  <c r="B7" i="2"/>
  <c r="AP44" i="4" l="1"/>
  <c r="AP95" i="4"/>
  <c r="AP153" i="4"/>
  <c r="AP53" i="4"/>
  <c r="AP103" i="4"/>
  <c r="AP146" i="4"/>
  <c r="AP39" i="4"/>
  <c r="AP89" i="4"/>
  <c r="AP136" i="4"/>
  <c r="AP36" i="4"/>
  <c r="AP82" i="4"/>
  <c r="AP130" i="4"/>
  <c r="AP135" i="4"/>
  <c r="AP9" i="4"/>
  <c r="AP47" i="4"/>
  <c r="AP96" i="4"/>
  <c r="AP155" i="4"/>
  <c r="AP57" i="4"/>
  <c r="AP106" i="4"/>
  <c r="AP147" i="4"/>
  <c r="AP41" i="4"/>
  <c r="AP92" i="4"/>
  <c r="AP138" i="4"/>
  <c r="AP46" i="4"/>
  <c r="AP87" i="4"/>
  <c r="AP131" i="4"/>
  <c r="AP45" i="4"/>
  <c r="AP12" i="4"/>
  <c r="AP52" i="4"/>
  <c r="AP109" i="4"/>
  <c r="AP15" i="4"/>
  <c r="AP59" i="4"/>
  <c r="AP107" i="4"/>
  <c r="AP151" i="4"/>
  <c r="AP51" i="4"/>
  <c r="AP97" i="4"/>
  <c r="AP139" i="4"/>
  <c r="AP48" i="4"/>
  <c r="AP90" i="4"/>
  <c r="AP137" i="4"/>
  <c r="AP29" i="4"/>
  <c r="AP125" i="4"/>
  <c r="AP14" i="4"/>
  <c r="AP58" i="4"/>
  <c r="AP112" i="4"/>
  <c r="AP23" i="4"/>
  <c r="AP65" i="4"/>
  <c r="AP113" i="4"/>
  <c r="AP8" i="4"/>
  <c r="AP54" i="4"/>
  <c r="AP99" i="4"/>
  <c r="AP145" i="4"/>
  <c r="AP49" i="4"/>
  <c r="AP98" i="4"/>
  <c r="AP140" i="4"/>
  <c r="AP37" i="4"/>
  <c r="AP17" i="4"/>
  <c r="AP62" i="4"/>
  <c r="AP120" i="4"/>
  <c r="AP32" i="4"/>
  <c r="AP68" i="4"/>
  <c r="AP116" i="4"/>
  <c r="AP10" i="4"/>
  <c r="AP56" i="4"/>
  <c r="AP102" i="4"/>
  <c r="AP154" i="4"/>
  <c r="AP55" i="4"/>
  <c r="AP100" i="4"/>
  <c r="AP148" i="4"/>
  <c r="AP124" i="4"/>
  <c r="AP78" i="4"/>
  <c r="AP20" i="4"/>
  <c r="AP67" i="4"/>
  <c r="AP123" i="4"/>
  <c r="AP33" i="4"/>
  <c r="AP73" i="4"/>
  <c r="AP118" i="4"/>
  <c r="AP13" i="4"/>
  <c r="AP60" i="4"/>
  <c r="AP104" i="4"/>
  <c r="AP156" i="4"/>
  <c r="AP61" i="4"/>
  <c r="AP105" i="4"/>
  <c r="AP150" i="4"/>
  <c r="AP72" i="4"/>
  <c r="AP143" i="4"/>
  <c r="AP21" i="4"/>
  <c r="AP70" i="4"/>
  <c r="AP129" i="4"/>
  <c r="AP34" i="4"/>
  <c r="AP76" i="4"/>
  <c r="AP121" i="4"/>
  <c r="AP16" i="4"/>
  <c r="AP63" i="4"/>
  <c r="AP110" i="4"/>
  <c r="AP157" i="4"/>
  <c r="AP64" i="4"/>
  <c r="AP108" i="4"/>
  <c r="AP152" i="4"/>
  <c r="AP115" i="4"/>
  <c r="AP88" i="4"/>
  <c r="AP22" i="4"/>
  <c r="AP75" i="4"/>
  <c r="AP132" i="4"/>
  <c r="AP38" i="4"/>
  <c r="AP83" i="4"/>
  <c r="AP126" i="4"/>
  <c r="AP18" i="4"/>
  <c r="AP66" i="4"/>
  <c r="AP111" i="4"/>
  <c r="AP11" i="4"/>
  <c r="AP69" i="4"/>
  <c r="AP114" i="4"/>
  <c r="AP81" i="4"/>
  <c r="AP28" i="4"/>
  <c r="AP80" i="4"/>
  <c r="AP141" i="4"/>
  <c r="AP40" i="4"/>
  <c r="AP86" i="4"/>
  <c r="AP133" i="4"/>
  <c r="AP24" i="4"/>
  <c r="AP71" i="4"/>
  <c r="AP117" i="4"/>
  <c r="AP19" i="4"/>
  <c r="AP94" i="4"/>
  <c r="AP31" i="4"/>
  <c r="AP85" i="4"/>
  <c r="AP142" i="4"/>
  <c r="AP43" i="4"/>
  <c r="AP91" i="4"/>
  <c r="AP134" i="4"/>
  <c r="AP25" i="4"/>
  <c r="AP74" i="4"/>
  <c r="AP119" i="4"/>
  <c r="AP27" i="4"/>
  <c r="AP77" i="4"/>
  <c r="AP122" i="4"/>
  <c r="AP26" i="4"/>
  <c r="AP42" i="4"/>
  <c r="AP93" i="4"/>
  <c r="AP149" i="4"/>
  <c r="AP50" i="4"/>
  <c r="AP101" i="4"/>
  <c r="AP144" i="4"/>
  <c r="AP35" i="4"/>
  <c r="AP84" i="4"/>
  <c r="AP127" i="4"/>
  <c r="AP30" i="4"/>
  <c r="AP79" i="4"/>
  <c r="AP128" i="4"/>
  <c r="B18" i="5"/>
  <c r="B35" i="5" s="1"/>
  <c r="B261" i="2"/>
  <c r="B262" i="2" s="1"/>
  <c r="B143" i="2"/>
  <c r="B134" i="2"/>
  <c r="H37" i="1" s="1"/>
  <c r="B95" i="2"/>
  <c r="B107" i="2"/>
  <c r="AJ49" i="5"/>
  <c r="AK49" i="5" s="1"/>
  <c r="AJ8" i="5"/>
  <c r="AK8" i="5" s="1"/>
  <c r="AJ163" i="5"/>
  <c r="AK163" i="5" s="1"/>
  <c r="AJ130" i="5"/>
  <c r="AK130" i="5" s="1"/>
  <c r="AJ114" i="5"/>
  <c r="AK114" i="5" s="1"/>
  <c r="AJ94" i="5"/>
  <c r="AJ33" i="5"/>
  <c r="AK33" i="5" s="1"/>
  <c r="AJ183" i="5"/>
  <c r="AK183" i="5" s="1"/>
  <c r="AJ140" i="5"/>
  <c r="AL140" i="5" s="1"/>
  <c r="AJ122" i="5"/>
  <c r="AJ106" i="5"/>
  <c r="AK106" i="5" s="1"/>
  <c r="AJ63" i="5"/>
  <c r="AL63" i="5" s="1"/>
  <c r="H59" i="1"/>
  <c r="B86" i="2"/>
  <c r="B87" i="2" s="1"/>
  <c r="B88" i="2" s="1"/>
  <c r="B69" i="2"/>
  <c r="B17" i="5"/>
  <c r="B78" i="2"/>
  <c r="B61" i="2"/>
  <c r="B43" i="2"/>
  <c r="B42" i="2"/>
  <c r="B41" i="2"/>
  <c r="B44" i="2"/>
  <c r="AJ136" i="5"/>
  <c r="AL136" i="5" s="1"/>
  <c r="AJ81" i="5"/>
  <c r="AL81" i="5" s="1"/>
  <c r="AJ65" i="5"/>
  <c r="AL65" i="5" s="1"/>
  <c r="AJ47" i="5"/>
  <c r="AK47" i="5" s="1"/>
  <c r="AJ31" i="5"/>
  <c r="AK31" i="5" s="1"/>
  <c r="AJ195" i="5"/>
  <c r="AL195" i="5" s="1"/>
  <c r="AJ175" i="5"/>
  <c r="AK175" i="5" s="1"/>
  <c r="AJ159" i="5"/>
  <c r="AK159" i="5" s="1"/>
  <c r="AJ138" i="5"/>
  <c r="AK138" i="5" s="1"/>
  <c r="AJ128" i="5"/>
  <c r="AL128" i="5" s="1"/>
  <c r="AJ120" i="5"/>
  <c r="AL120" i="5" s="1"/>
  <c r="AJ112" i="5"/>
  <c r="AL112" i="5" s="1"/>
  <c r="AJ102" i="5"/>
  <c r="AK102" i="5" s="1"/>
  <c r="AJ92" i="5"/>
  <c r="AL92" i="5" s="1"/>
  <c r="AJ53" i="5"/>
  <c r="AK53" i="5" s="1"/>
  <c r="AJ34" i="5"/>
  <c r="AK34" i="5" s="1"/>
  <c r="AJ7" i="5"/>
  <c r="AL7" i="5" s="1"/>
  <c r="AJ161" i="5"/>
  <c r="AK161" i="5" s="1"/>
  <c r="AJ147" i="5"/>
  <c r="AL147" i="5" s="1"/>
  <c r="AJ91" i="5"/>
  <c r="AK91" i="5" s="1"/>
  <c r="AJ75" i="5"/>
  <c r="AK75" i="5" s="1"/>
  <c r="AJ59" i="5"/>
  <c r="AK59" i="5" s="1"/>
  <c r="AJ44" i="5"/>
  <c r="AK44" i="5" s="1"/>
  <c r="AJ28" i="5"/>
  <c r="AK28" i="5" s="1"/>
  <c r="AJ191" i="5"/>
  <c r="AL191" i="5" s="1"/>
  <c r="AJ171" i="5"/>
  <c r="AK171" i="5" s="1"/>
  <c r="AJ155" i="5"/>
  <c r="AK155" i="5" s="1"/>
  <c r="AJ134" i="5"/>
  <c r="AK134" i="5" s="1"/>
  <c r="AJ126" i="5"/>
  <c r="AK126" i="5" s="1"/>
  <c r="AJ118" i="5"/>
  <c r="AL118" i="5" s="1"/>
  <c r="AJ110" i="5"/>
  <c r="AK110" i="5" s="1"/>
  <c r="AJ100" i="5"/>
  <c r="AK100" i="5" s="1"/>
  <c r="AJ88" i="5"/>
  <c r="AK88" i="5" s="1"/>
  <c r="AJ37" i="5"/>
  <c r="AK37" i="5" s="1"/>
  <c r="B56" i="2"/>
  <c r="AJ104" i="5"/>
  <c r="AK104" i="5" s="1"/>
  <c r="AJ96" i="5"/>
  <c r="AL96" i="5" s="1"/>
  <c r="AJ79" i="5"/>
  <c r="AK79" i="5" s="1"/>
  <c r="AJ48" i="5"/>
  <c r="AL48" i="5" s="1"/>
  <c r="B19" i="2"/>
  <c r="H16" i="1" s="1"/>
  <c r="B29" i="2"/>
  <c r="AJ85" i="5"/>
  <c r="AK85" i="5" s="1"/>
  <c r="AJ69" i="5"/>
  <c r="AL69" i="5" s="1"/>
  <c r="AJ51" i="5"/>
  <c r="AL51" i="5" s="1"/>
  <c r="AJ35" i="5"/>
  <c r="AL35" i="5" s="1"/>
  <c r="AJ32" i="5"/>
  <c r="AK32" i="5" s="1"/>
  <c r="AJ90" i="5"/>
  <c r="AK90" i="5" s="1"/>
  <c r="AJ74" i="5"/>
  <c r="AL74" i="5" s="1"/>
  <c r="AJ58" i="5"/>
  <c r="AL58" i="5" s="1"/>
  <c r="AJ42" i="5"/>
  <c r="AK42" i="5" s="1"/>
  <c r="AJ26" i="5"/>
  <c r="AK26" i="5" s="1"/>
  <c r="AJ21" i="5"/>
  <c r="AK21" i="5" s="1"/>
  <c r="B140" i="2"/>
  <c r="AK430" i="5"/>
  <c r="AL430" i="5"/>
  <c r="AK497" i="5"/>
  <c r="AL497" i="5"/>
  <c r="AK372" i="5"/>
  <c r="AL372" i="5"/>
  <c r="AK446" i="5"/>
  <c r="AL446" i="5"/>
  <c r="AK217" i="5"/>
  <c r="AL217" i="5"/>
  <c r="AK495" i="5"/>
  <c r="AL495" i="5"/>
  <c r="AL400" i="5"/>
  <c r="AK400" i="5"/>
  <c r="AK552" i="5"/>
  <c r="AL552" i="5"/>
  <c r="AL488" i="5"/>
  <c r="AK488" i="5"/>
  <c r="AK443" i="5"/>
  <c r="AL443" i="5"/>
  <c r="AK293" i="5"/>
  <c r="AL293" i="5"/>
  <c r="AK409" i="5"/>
  <c r="AL409" i="5"/>
  <c r="AL341" i="5"/>
  <c r="AK341" i="5"/>
  <c r="AK245" i="5"/>
  <c r="AL245" i="5"/>
  <c r="AK525" i="5"/>
  <c r="AL525" i="5"/>
  <c r="AK469" i="5"/>
  <c r="AL469" i="5"/>
  <c r="AK363" i="5"/>
  <c r="AL363" i="5"/>
  <c r="AL282" i="5"/>
  <c r="AK282" i="5"/>
  <c r="AK299" i="5"/>
  <c r="AL299" i="5"/>
  <c r="AL177" i="5"/>
  <c r="AK177" i="5"/>
  <c r="AK342" i="5"/>
  <c r="AL342" i="5"/>
  <c r="AK534" i="5"/>
  <c r="AL534" i="5"/>
  <c r="AK455" i="5"/>
  <c r="AL455" i="5"/>
  <c r="AK285" i="5"/>
  <c r="AL285" i="5"/>
  <c r="AK545" i="5"/>
  <c r="AL545" i="5"/>
  <c r="AK410" i="5"/>
  <c r="AL410" i="5"/>
  <c r="AK329" i="5"/>
  <c r="AL329" i="5"/>
  <c r="AK549" i="5"/>
  <c r="AL549" i="5"/>
  <c r="AL503" i="5"/>
  <c r="AK503" i="5"/>
  <c r="AK441" i="5"/>
  <c r="AL441" i="5"/>
  <c r="AK344" i="5"/>
  <c r="AL344" i="5"/>
  <c r="AK548" i="5"/>
  <c r="AL548" i="5"/>
  <c r="AL514" i="5"/>
  <c r="AK514" i="5"/>
  <c r="AL467" i="5"/>
  <c r="AK467" i="5"/>
  <c r="AK435" i="5"/>
  <c r="AL435" i="5"/>
  <c r="AL389" i="5"/>
  <c r="AK389" i="5"/>
  <c r="AK271" i="5"/>
  <c r="AL271" i="5"/>
  <c r="AK253" i="5"/>
  <c r="AL253" i="5"/>
  <c r="AK433" i="5"/>
  <c r="AL433" i="5"/>
  <c r="AK401" i="5"/>
  <c r="AL401" i="5"/>
  <c r="AL385" i="5"/>
  <c r="AK385" i="5"/>
  <c r="AL365" i="5"/>
  <c r="AK365" i="5"/>
  <c r="AL349" i="5"/>
  <c r="AK349" i="5"/>
  <c r="AL333" i="5"/>
  <c r="AK333" i="5"/>
  <c r="AK318" i="5"/>
  <c r="AL318" i="5"/>
  <c r="AL301" i="5"/>
  <c r="AK301" i="5"/>
  <c r="AK269" i="5"/>
  <c r="AL269" i="5"/>
  <c r="AK221" i="5"/>
  <c r="AL221" i="5"/>
  <c r="AL127" i="5"/>
  <c r="AK127" i="5"/>
  <c r="AL559" i="5"/>
  <c r="AK559" i="5"/>
  <c r="AL543" i="5"/>
  <c r="AK543" i="5"/>
  <c r="AK529" i="5"/>
  <c r="AL529" i="5"/>
  <c r="AL519" i="5"/>
  <c r="AK519" i="5"/>
  <c r="AK509" i="5"/>
  <c r="AL509" i="5"/>
  <c r="AL494" i="5"/>
  <c r="AK494" i="5"/>
  <c r="AL478" i="5"/>
  <c r="AK478" i="5"/>
  <c r="AL462" i="5"/>
  <c r="AK462" i="5"/>
  <c r="AK396" i="5"/>
  <c r="AL396" i="5"/>
  <c r="AK383" i="5"/>
  <c r="AL383" i="5"/>
  <c r="AK371" i="5"/>
  <c r="AL371" i="5"/>
  <c r="AK355" i="5"/>
  <c r="AL355" i="5"/>
  <c r="AK339" i="5"/>
  <c r="AL339" i="5"/>
  <c r="AL321" i="5"/>
  <c r="AK321" i="5"/>
  <c r="AK296" i="5"/>
  <c r="AL296" i="5"/>
  <c r="AK264" i="5"/>
  <c r="AL264" i="5"/>
  <c r="AK194" i="5"/>
  <c r="AL194" i="5"/>
  <c r="AL324" i="5"/>
  <c r="AK324" i="5"/>
  <c r="AL308" i="5"/>
  <c r="AK308" i="5"/>
  <c r="AL292" i="5"/>
  <c r="AK292" i="5"/>
  <c r="AL276" i="5"/>
  <c r="AK276" i="5"/>
  <c r="AL260" i="5"/>
  <c r="AK260" i="5"/>
  <c r="AL252" i="5"/>
  <c r="AK252" i="5"/>
  <c r="AK244" i="5"/>
  <c r="AL244" i="5"/>
  <c r="AL231" i="5"/>
  <c r="AK231" i="5"/>
  <c r="AK212" i="5"/>
  <c r="AL212" i="5"/>
  <c r="AK193" i="5"/>
  <c r="AL193" i="5"/>
  <c r="AK67" i="5"/>
  <c r="AL67" i="5"/>
  <c r="AK20" i="5"/>
  <c r="AL20" i="5"/>
  <c r="AL235" i="5"/>
  <c r="AK235" i="5"/>
  <c r="AK218" i="5"/>
  <c r="AL218" i="5"/>
  <c r="AK202" i="5"/>
  <c r="AL202" i="5"/>
  <c r="AK186" i="5"/>
  <c r="AL186" i="5"/>
  <c r="AK139" i="5"/>
  <c r="AL139" i="5"/>
  <c r="AK107" i="5"/>
  <c r="AL107" i="5"/>
  <c r="AK55" i="5"/>
  <c r="AL55" i="5"/>
  <c r="AL326" i="5"/>
  <c r="AK326" i="5"/>
  <c r="AK307" i="5"/>
  <c r="AL307" i="5"/>
  <c r="AK291" i="5"/>
  <c r="AL291" i="5"/>
  <c r="AK275" i="5"/>
  <c r="AL275" i="5"/>
  <c r="AK259" i="5"/>
  <c r="AL259" i="5"/>
  <c r="AL239" i="5"/>
  <c r="AK239" i="5"/>
  <c r="AL223" i="5"/>
  <c r="AK223" i="5"/>
  <c r="AL207" i="5"/>
  <c r="AK207" i="5"/>
  <c r="AK189" i="5"/>
  <c r="AL189" i="5"/>
  <c r="AL89" i="5"/>
  <c r="AK89" i="5"/>
  <c r="AK188" i="5"/>
  <c r="AL188" i="5"/>
  <c r="AL174" i="5"/>
  <c r="AK174" i="5"/>
  <c r="AL166" i="5"/>
  <c r="AK166" i="5"/>
  <c r="AL158" i="5"/>
  <c r="AK158" i="5"/>
  <c r="AL146" i="5"/>
  <c r="AK146" i="5"/>
  <c r="AK125" i="5"/>
  <c r="AL125" i="5"/>
  <c r="AK109" i="5"/>
  <c r="AL109" i="5"/>
  <c r="AK93" i="5"/>
  <c r="AL93" i="5"/>
  <c r="AL77" i="5"/>
  <c r="AK77" i="5"/>
  <c r="AL61" i="5"/>
  <c r="AK61" i="5"/>
  <c r="AL43" i="5"/>
  <c r="AK43" i="5"/>
  <c r="AL27" i="5"/>
  <c r="AK27" i="5"/>
  <c r="AK173" i="5"/>
  <c r="AL173" i="5"/>
  <c r="AL157" i="5"/>
  <c r="AK157" i="5"/>
  <c r="AK145" i="5"/>
  <c r="AL145" i="5"/>
  <c r="AK86" i="5"/>
  <c r="AL86" i="5"/>
  <c r="AK70" i="5"/>
  <c r="AL70" i="5"/>
  <c r="AK54" i="5"/>
  <c r="AL54" i="5"/>
  <c r="AK38" i="5"/>
  <c r="AL38" i="5"/>
  <c r="AK22" i="5"/>
  <c r="AL22" i="5"/>
  <c r="AL187" i="5"/>
  <c r="AK187" i="5"/>
  <c r="AK167" i="5"/>
  <c r="AL167" i="5"/>
  <c r="AK149" i="5"/>
  <c r="AL149" i="5"/>
  <c r="AL132" i="5"/>
  <c r="AK132" i="5"/>
  <c r="AL124" i="5"/>
  <c r="AK124" i="5"/>
  <c r="AL116" i="5"/>
  <c r="AK116" i="5"/>
  <c r="AL108" i="5"/>
  <c r="AK108" i="5"/>
  <c r="AL100" i="5"/>
  <c r="AK358" i="5"/>
  <c r="AL358" i="5"/>
  <c r="AK19" i="5"/>
  <c r="AL19" i="5"/>
  <c r="AL420" i="5"/>
  <c r="AK420" i="5"/>
  <c r="AK557" i="5"/>
  <c r="AL557" i="5"/>
  <c r="AK505" i="5"/>
  <c r="AL505" i="5"/>
  <c r="AK386" i="5"/>
  <c r="AL386" i="5"/>
  <c r="AL448" i="5"/>
  <c r="AK448" i="5"/>
  <c r="AK537" i="5"/>
  <c r="AL537" i="5"/>
  <c r="AK481" i="5"/>
  <c r="AL481" i="5"/>
  <c r="AL432" i="5"/>
  <c r="AK432" i="5"/>
  <c r="AK360" i="5"/>
  <c r="AL360" i="5"/>
  <c r="AK544" i="5"/>
  <c r="AL544" i="5"/>
  <c r="AL520" i="5"/>
  <c r="AK520" i="5"/>
  <c r="AL472" i="5"/>
  <c r="AK472" i="5"/>
  <c r="AK427" i="5"/>
  <c r="AL427" i="5"/>
  <c r="AL332" i="5"/>
  <c r="AK332" i="5"/>
  <c r="AK135" i="5"/>
  <c r="AL135" i="5"/>
  <c r="AK392" i="5"/>
  <c r="AL392" i="5"/>
  <c r="AL357" i="5"/>
  <c r="AK357" i="5"/>
  <c r="AK310" i="5"/>
  <c r="AL310" i="5"/>
  <c r="AK205" i="5"/>
  <c r="AL205" i="5"/>
  <c r="AL551" i="5"/>
  <c r="AK551" i="5"/>
  <c r="AK513" i="5"/>
  <c r="AL513" i="5"/>
  <c r="AK485" i="5"/>
  <c r="AL485" i="5"/>
  <c r="AK390" i="5"/>
  <c r="AL390" i="5"/>
  <c r="AK347" i="5"/>
  <c r="AL347" i="5"/>
  <c r="AL313" i="5"/>
  <c r="AK313" i="5"/>
  <c r="AL152" i="5"/>
  <c r="AK152" i="5"/>
  <c r="AK283" i="5"/>
  <c r="AL283" i="5"/>
  <c r="AL256" i="5"/>
  <c r="AK256" i="5"/>
  <c r="AK236" i="5"/>
  <c r="AL236" i="5"/>
  <c r="AK204" i="5"/>
  <c r="AL204" i="5"/>
  <c r="AK39" i="5"/>
  <c r="AL39" i="5"/>
  <c r="AK224" i="5"/>
  <c r="AL224" i="5"/>
  <c r="AK315" i="5"/>
  <c r="AL315" i="5"/>
  <c r="AK457" i="5"/>
  <c r="AL457" i="5"/>
  <c r="AL397" i="5"/>
  <c r="AK397" i="5"/>
  <c r="AK201" i="5"/>
  <c r="AL201" i="5"/>
  <c r="AK510" i="5"/>
  <c r="AL510" i="5"/>
  <c r="AK487" i="5"/>
  <c r="AL487" i="5"/>
  <c r="AL404" i="5"/>
  <c r="AK404" i="5"/>
  <c r="AK356" i="5"/>
  <c r="AL356" i="5"/>
  <c r="AL452" i="5"/>
  <c r="AK452" i="5"/>
  <c r="AL468" i="5"/>
  <c r="AK468" i="5"/>
  <c r="AK438" i="5"/>
  <c r="AL438" i="5"/>
  <c r="AL362" i="5"/>
  <c r="AK362" i="5"/>
  <c r="AK479" i="5"/>
  <c r="AL479" i="5"/>
  <c r="AK422" i="5"/>
  <c r="AL422" i="5"/>
  <c r="AL512" i="5"/>
  <c r="AK512" i="5"/>
  <c r="AK463" i="5"/>
  <c r="AL463" i="5"/>
  <c r="AK471" i="5"/>
  <c r="AL471" i="5"/>
  <c r="AL416" i="5"/>
  <c r="AK416" i="5"/>
  <c r="AK376" i="5"/>
  <c r="AL376" i="5"/>
  <c r="AK209" i="5"/>
  <c r="AL209" i="5"/>
  <c r="AK540" i="5"/>
  <c r="AL540" i="5"/>
  <c r="AL530" i="5"/>
  <c r="AK530" i="5"/>
  <c r="AL499" i="5"/>
  <c r="AK499" i="5"/>
  <c r="AL483" i="5"/>
  <c r="AK483" i="5"/>
  <c r="AK451" i="5"/>
  <c r="AL451" i="5"/>
  <c r="AK419" i="5"/>
  <c r="AL419" i="5"/>
  <c r="AK403" i="5"/>
  <c r="AL403" i="5"/>
  <c r="AK303" i="5"/>
  <c r="AL303" i="5"/>
  <c r="AK417" i="5"/>
  <c r="AL417" i="5"/>
  <c r="AK554" i="5"/>
  <c r="AL554" i="5"/>
  <c r="AL444" i="5"/>
  <c r="AK444" i="5"/>
  <c r="AK366" i="5"/>
  <c r="AL366" i="5"/>
  <c r="AK334" i="5"/>
  <c r="AL334" i="5"/>
  <c r="AK111" i="5"/>
  <c r="AL111" i="5"/>
  <c r="AK526" i="5"/>
  <c r="AL526" i="5"/>
  <c r="AK506" i="5"/>
  <c r="AL506" i="5"/>
  <c r="AK474" i="5"/>
  <c r="AL474" i="5"/>
  <c r="AL428" i="5"/>
  <c r="AK428" i="5"/>
  <c r="AK380" i="5"/>
  <c r="AL380" i="5"/>
  <c r="AK348" i="5"/>
  <c r="AL348" i="5"/>
  <c r="AK78" i="5"/>
  <c r="AL78" i="5"/>
  <c r="AL436" i="5"/>
  <c r="AK436" i="5"/>
  <c r="AL528" i="5"/>
  <c r="AK528" i="5"/>
  <c r="AK450" i="5"/>
  <c r="AL450" i="5"/>
  <c r="AK434" i="5"/>
  <c r="AL434" i="5"/>
  <c r="AK402" i="5"/>
  <c r="AL402" i="5"/>
  <c r="AK354" i="5"/>
  <c r="AL354" i="5"/>
  <c r="AK263" i="5"/>
  <c r="AL263" i="5"/>
  <c r="AK466" i="5"/>
  <c r="AL466" i="5"/>
  <c r="AK406" i="5"/>
  <c r="AL406" i="5"/>
  <c r="AK541" i="5"/>
  <c r="AL541" i="5"/>
  <c r="AL500" i="5"/>
  <c r="AK500" i="5"/>
  <c r="AK560" i="5"/>
  <c r="AL560" i="5"/>
  <c r="AK490" i="5"/>
  <c r="AL490" i="5"/>
  <c r="AK458" i="5"/>
  <c r="AL458" i="5"/>
  <c r="AK437" i="5"/>
  <c r="AL437" i="5"/>
  <c r="AL408" i="5"/>
  <c r="AK408" i="5"/>
  <c r="AK368" i="5"/>
  <c r="AL368" i="5"/>
  <c r="AK336" i="5"/>
  <c r="AL336" i="5"/>
  <c r="AL144" i="5"/>
  <c r="AK144" i="5"/>
  <c r="AK546" i="5"/>
  <c r="AL546" i="5"/>
  <c r="AK538" i="5"/>
  <c r="AL538" i="5"/>
  <c r="AL524" i="5"/>
  <c r="AK524" i="5"/>
  <c r="AL508" i="5"/>
  <c r="AK508" i="5"/>
  <c r="AK493" i="5"/>
  <c r="AL493" i="5"/>
  <c r="AK477" i="5"/>
  <c r="AL477" i="5"/>
  <c r="AK461" i="5"/>
  <c r="AL461" i="5"/>
  <c r="AK447" i="5"/>
  <c r="AL447" i="5"/>
  <c r="AK431" i="5"/>
  <c r="AL431" i="5"/>
  <c r="AK415" i="5"/>
  <c r="AL415" i="5"/>
  <c r="AK399" i="5"/>
  <c r="AL399" i="5"/>
  <c r="AK378" i="5"/>
  <c r="AL378" i="5"/>
  <c r="AL298" i="5"/>
  <c r="AK298" i="5"/>
  <c r="AL266" i="5"/>
  <c r="AK266" i="5"/>
  <c r="AL232" i="5"/>
  <c r="AK232" i="5"/>
  <c r="AK429" i="5"/>
  <c r="AL429" i="5"/>
  <c r="AK413" i="5"/>
  <c r="AL413" i="5"/>
  <c r="AK395" i="5"/>
  <c r="AL395" i="5"/>
  <c r="AL381" i="5"/>
  <c r="AK381" i="5"/>
  <c r="AL361" i="5"/>
  <c r="AK361" i="5"/>
  <c r="AL345" i="5"/>
  <c r="AK345" i="5"/>
  <c r="AK331" i="5"/>
  <c r="AL331" i="5"/>
  <c r="AK314" i="5"/>
  <c r="AL314" i="5"/>
  <c r="AK288" i="5"/>
  <c r="AL288" i="5"/>
  <c r="AK249" i="5"/>
  <c r="AL249" i="5"/>
  <c r="AK213" i="5"/>
  <c r="AL213" i="5"/>
  <c r="AK95" i="5"/>
  <c r="AL95" i="5"/>
  <c r="AL555" i="5"/>
  <c r="AK555" i="5"/>
  <c r="AL539" i="5"/>
  <c r="AK539" i="5"/>
  <c r="AL527" i="5"/>
  <c r="AK527" i="5"/>
  <c r="AK517" i="5"/>
  <c r="AL517" i="5"/>
  <c r="AK507" i="5"/>
  <c r="AL507" i="5"/>
  <c r="AL491" i="5"/>
  <c r="AK491" i="5"/>
  <c r="AL475" i="5"/>
  <c r="AK475" i="5"/>
  <c r="AK459" i="5"/>
  <c r="AL459" i="5"/>
  <c r="AK394" i="5"/>
  <c r="AL394" i="5"/>
  <c r="AK379" i="5"/>
  <c r="AL379" i="5"/>
  <c r="AK367" i="5"/>
  <c r="AL367" i="5"/>
  <c r="AK351" i="5"/>
  <c r="AL351" i="5"/>
  <c r="AK335" i="5"/>
  <c r="AL335" i="5"/>
  <c r="AL317" i="5"/>
  <c r="AK317" i="5"/>
  <c r="AK287" i="5"/>
  <c r="AL287" i="5"/>
  <c r="AL247" i="5"/>
  <c r="AK247" i="5"/>
  <c r="AK179" i="5"/>
  <c r="AL179" i="5"/>
  <c r="AL320" i="5"/>
  <c r="AK320" i="5"/>
  <c r="AL305" i="5"/>
  <c r="AK305" i="5"/>
  <c r="AK289" i="5"/>
  <c r="AL289" i="5"/>
  <c r="AK273" i="5"/>
  <c r="AL273" i="5"/>
  <c r="AL258" i="5"/>
  <c r="AK258" i="5"/>
  <c r="AL250" i="5"/>
  <c r="AK250" i="5"/>
  <c r="AL241" i="5"/>
  <c r="AK241" i="5"/>
  <c r="AK225" i="5"/>
  <c r="AL225" i="5"/>
  <c r="AK208" i="5"/>
  <c r="AL208" i="5"/>
  <c r="AL178" i="5"/>
  <c r="AK178" i="5"/>
  <c r="AL57" i="5"/>
  <c r="AK57" i="5"/>
  <c r="AK242" i="5"/>
  <c r="AL242" i="5"/>
  <c r="AK229" i="5"/>
  <c r="AL229" i="5"/>
  <c r="AK214" i="5"/>
  <c r="AL214" i="5"/>
  <c r="AK198" i="5"/>
  <c r="AL198" i="5"/>
  <c r="AK182" i="5"/>
  <c r="AL182" i="5"/>
  <c r="AK131" i="5"/>
  <c r="AL131" i="5"/>
  <c r="AK99" i="5"/>
  <c r="AL99" i="5"/>
  <c r="AK46" i="5"/>
  <c r="AL46" i="5"/>
  <c r="AK319" i="5"/>
  <c r="AL319" i="5"/>
  <c r="AL302" i="5"/>
  <c r="AK302" i="5"/>
  <c r="AL286" i="5"/>
  <c r="AK286" i="5"/>
  <c r="AL270" i="5"/>
  <c r="AK270" i="5"/>
  <c r="AK255" i="5"/>
  <c r="AL255" i="5"/>
  <c r="AK233" i="5"/>
  <c r="AL233" i="5"/>
  <c r="AL219" i="5"/>
  <c r="AK219" i="5"/>
  <c r="AL203" i="5"/>
  <c r="AK203" i="5"/>
  <c r="AK185" i="5"/>
  <c r="AL185" i="5"/>
  <c r="AK62" i="5"/>
  <c r="AL62" i="5"/>
  <c r="AK184" i="5"/>
  <c r="AL184" i="5"/>
  <c r="AL172" i="5"/>
  <c r="AK172" i="5"/>
  <c r="AL164" i="5"/>
  <c r="AK164" i="5"/>
  <c r="AL156" i="5"/>
  <c r="AK156" i="5"/>
  <c r="AL143" i="5"/>
  <c r="AK143" i="5"/>
  <c r="AK121" i="5"/>
  <c r="AL121" i="5"/>
  <c r="AK105" i="5"/>
  <c r="AL105" i="5"/>
  <c r="AK87" i="5"/>
  <c r="AL87" i="5"/>
  <c r="AK71" i="5"/>
  <c r="AL71" i="5"/>
  <c r="AL56" i="5"/>
  <c r="AK56" i="5"/>
  <c r="AK40" i="5"/>
  <c r="AL40" i="5"/>
  <c r="AK24" i="5"/>
  <c r="AL24" i="5"/>
  <c r="AK169" i="5"/>
  <c r="AL169" i="5"/>
  <c r="AL153" i="5"/>
  <c r="AK153" i="5"/>
  <c r="AK141" i="5"/>
  <c r="AL141" i="5"/>
  <c r="AK84" i="5"/>
  <c r="AL84" i="5"/>
  <c r="AK68" i="5"/>
  <c r="AL68" i="5"/>
  <c r="AL8" i="5"/>
  <c r="AL183" i="5"/>
  <c r="AK122" i="5"/>
  <c r="AL122" i="5"/>
  <c r="AK98" i="5"/>
  <c r="AL98" i="5"/>
  <c r="AK72" i="5"/>
  <c r="AL72" i="5"/>
  <c r="AK498" i="5"/>
  <c r="AL498" i="5"/>
  <c r="AL290" i="5"/>
  <c r="AK290" i="5"/>
  <c r="AK522" i="5"/>
  <c r="AL522" i="5"/>
  <c r="AK465" i="5"/>
  <c r="AL465" i="5"/>
  <c r="AK340" i="5"/>
  <c r="AL340" i="5"/>
  <c r="AK382" i="5"/>
  <c r="AL382" i="5"/>
  <c r="AK426" i="5"/>
  <c r="AL426" i="5"/>
  <c r="AK346" i="5"/>
  <c r="AL346" i="5"/>
  <c r="AL374" i="5"/>
  <c r="AK374" i="5"/>
  <c r="AK531" i="5"/>
  <c r="AL531" i="5"/>
  <c r="AK449" i="5"/>
  <c r="AL449" i="5"/>
  <c r="AK327" i="5"/>
  <c r="AL327" i="5"/>
  <c r="AK536" i="5"/>
  <c r="AL536" i="5"/>
  <c r="AL504" i="5"/>
  <c r="AK504" i="5"/>
  <c r="AL456" i="5"/>
  <c r="AK456" i="5"/>
  <c r="AK411" i="5"/>
  <c r="AL411" i="5"/>
  <c r="AL393" i="5"/>
  <c r="AK393" i="5"/>
  <c r="AK261" i="5"/>
  <c r="AL261" i="5"/>
  <c r="AK425" i="5"/>
  <c r="AL425" i="5"/>
  <c r="AL373" i="5"/>
  <c r="AK373" i="5"/>
  <c r="AK328" i="5"/>
  <c r="AL328" i="5"/>
  <c r="AK279" i="5"/>
  <c r="AL279" i="5"/>
  <c r="AK60" i="5"/>
  <c r="AL60" i="5"/>
  <c r="AL535" i="5"/>
  <c r="AK535" i="5"/>
  <c r="AK501" i="5"/>
  <c r="AL501" i="5"/>
  <c r="AK453" i="5"/>
  <c r="AL453" i="5"/>
  <c r="AL377" i="5"/>
  <c r="AK377" i="5"/>
  <c r="AL330" i="5"/>
  <c r="AK330" i="5"/>
  <c r="AK237" i="5"/>
  <c r="AL237" i="5"/>
  <c r="AL316" i="5"/>
  <c r="AK316" i="5"/>
  <c r="AK267" i="5"/>
  <c r="AL267" i="5"/>
  <c r="AK248" i="5"/>
  <c r="AL248" i="5"/>
  <c r="AK220" i="5"/>
  <c r="AL220" i="5"/>
  <c r="AK142" i="5"/>
  <c r="AL142" i="5"/>
  <c r="AK240" i="5"/>
  <c r="AL240" i="5"/>
  <c r="AK210" i="5"/>
  <c r="AL210" i="5"/>
  <c r="AK192" i="5"/>
  <c r="AL192" i="5"/>
  <c r="AL123" i="5"/>
  <c r="AK123" i="5"/>
  <c r="AK83" i="5"/>
  <c r="AL83" i="5"/>
  <c r="AK36" i="5"/>
  <c r="AL36" i="5"/>
  <c r="AL300" i="5"/>
  <c r="AK300" i="5"/>
  <c r="AL284" i="5"/>
  <c r="AK284" i="5"/>
  <c r="AL268" i="5"/>
  <c r="AK268" i="5"/>
  <c r="AK251" i="5"/>
  <c r="AL251" i="5"/>
  <c r="AK228" i="5"/>
  <c r="AL228" i="5"/>
  <c r="AL215" i="5"/>
  <c r="AK215" i="5"/>
  <c r="AL199" i="5"/>
  <c r="AK199" i="5"/>
  <c r="AK181" i="5"/>
  <c r="AL181" i="5"/>
  <c r="AL52" i="5"/>
  <c r="AK52" i="5"/>
  <c r="AK180" i="5"/>
  <c r="AL180" i="5"/>
  <c r="AL170" i="5"/>
  <c r="AK170" i="5"/>
  <c r="AL162" i="5"/>
  <c r="AK162" i="5"/>
  <c r="AL154" i="5"/>
  <c r="AK154" i="5"/>
  <c r="AK133" i="5"/>
  <c r="AL133" i="5"/>
  <c r="AK117" i="5"/>
  <c r="AL117" i="5"/>
  <c r="AK101" i="5"/>
  <c r="AL101" i="5"/>
  <c r="AK82" i="5"/>
  <c r="AL82" i="5"/>
  <c r="AK66" i="5"/>
  <c r="AL66" i="5"/>
  <c r="AK50" i="5"/>
  <c r="AL50" i="5"/>
  <c r="AK165" i="5"/>
  <c r="AL165" i="5"/>
  <c r="AK151" i="5"/>
  <c r="AL151" i="5"/>
  <c r="AL484" i="5"/>
  <c r="AK484" i="5"/>
  <c r="AK414" i="5"/>
  <c r="AL414" i="5"/>
  <c r="AK350" i="5"/>
  <c r="AL350" i="5"/>
  <c r="AK272" i="5"/>
  <c r="AL272" i="5"/>
  <c r="AK556" i="5"/>
  <c r="AL556" i="5"/>
  <c r="AK518" i="5"/>
  <c r="AL518" i="5"/>
  <c r="AL492" i="5"/>
  <c r="AK492" i="5"/>
  <c r="AL460" i="5"/>
  <c r="AK460" i="5"/>
  <c r="AL412" i="5"/>
  <c r="AK412" i="5"/>
  <c r="AK364" i="5"/>
  <c r="AL364" i="5"/>
  <c r="AK304" i="5"/>
  <c r="AL304" i="5"/>
  <c r="AK489" i="5"/>
  <c r="AL489" i="5"/>
  <c r="AK558" i="5"/>
  <c r="AL558" i="5"/>
  <c r="AK482" i="5"/>
  <c r="AL482" i="5"/>
  <c r="AK442" i="5"/>
  <c r="AL442" i="5"/>
  <c r="AK418" i="5"/>
  <c r="AL418" i="5"/>
  <c r="AK370" i="5"/>
  <c r="AL370" i="5"/>
  <c r="AK338" i="5"/>
  <c r="AL338" i="5"/>
  <c r="AK41" i="5"/>
  <c r="AL41" i="5"/>
  <c r="AL440" i="5"/>
  <c r="AK440" i="5"/>
  <c r="AK553" i="5"/>
  <c r="AL553" i="5"/>
  <c r="AK521" i="5"/>
  <c r="AL521" i="5"/>
  <c r="AK473" i="5"/>
  <c r="AL473" i="5"/>
  <c r="AK515" i="5"/>
  <c r="AL515" i="5"/>
  <c r="AL476" i="5"/>
  <c r="AK476" i="5"/>
  <c r="AK445" i="5"/>
  <c r="AL445" i="5"/>
  <c r="AL424" i="5"/>
  <c r="AK424" i="5"/>
  <c r="AK384" i="5"/>
  <c r="AL384" i="5"/>
  <c r="AK352" i="5"/>
  <c r="AL352" i="5"/>
  <c r="AK295" i="5"/>
  <c r="AL295" i="5"/>
  <c r="AK550" i="5"/>
  <c r="AL550" i="5"/>
  <c r="AK542" i="5"/>
  <c r="AL542" i="5"/>
  <c r="AL532" i="5"/>
  <c r="AK532" i="5"/>
  <c r="AL516" i="5"/>
  <c r="AK516" i="5"/>
  <c r="AL502" i="5"/>
  <c r="AK502" i="5"/>
  <c r="AL486" i="5"/>
  <c r="AK486" i="5"/>
  <c r="AL470" i="5"/>
  <c r="AK470" i="5"/>
  <c r="AL454" i="5"/>
  <c r="AK454" i="5"/>
  <c r="AK439" i="5"/>
  <c r="AL439" i="5"/>
  <c r="AK423" i="5"/>
  <c r="AL423" i="5"/>
  <c r="AK407" i="5"/>
  <c r="AL407" i="5"/>
  <c r="AL391" i="5"/>
  <c r="AK391" i="5"/>
  <c r="AK323" i="5"/>
  <c r="AL323" i="5"/>
  <c r="AK280" i="5"/>
  <c r="AL280" i="5"/>
  <c r="AK257" i="5"/>
  <c r="AL257" i="5"/>
  <c r="AK103" i="5"/>
  <c r="AL103" i="5"/>
  <c r="AK421" i="5"/>
  <c r="AL421" i="5"/>
  <c r="AK405" i="5"/>
  <c r="AL405" i="5"/>
  <c r="AK387" i="5"/>
  <c r="AL387" i="5"/>
  <c r="AL369" i="5"/>
  <c r="AK369" i="5"/>
  <c r="AL353" i="5"/>
  <c r="AK353" i="5"/>
  <c r="AL337" i="5"/>
  <c r="AK337" i="5"/>
  <c r="AL322" i="5"/>
  <c r="AK322" i="5"/>
  <c r="AL306" i="5"/>
  <c r="AK306" i="5"/>
  <c r="AL274" i="5"/>
  <c r="AK274" i="5"/>
  <c r="AK230" i="5"/>
  <c r="AL230" i="5"/>
  <c r="AK196" i="5"/>
  <c r="AL196" i="5"/>
  <c r="AK23" i="5"/>
  <c r="AL23" i="5"/>
  <c r="AL547" i="5"/>
  <c r="AK547" i="5"/>
  <c r="AK533" i="5"/>
  <c r="AL533" i="5"/>
  <c r="AK523" i="5"/>
  <c r="AL523" i="5"/>
  <c r="AL511" i="5"/>
  <c r="AK511" i="5"/>
  <c r="AL496" i="5"/>
  <c r="AK496" i="5"/>
  <c r="AL480" i="5"/>
  <c r="AK480" i="5"/>
  <c r="AL464" i="5"/>
  <c r="AK464" i="5"/>
  <c r="AK398" i="5"/>
  <c r="AL398" i="5"/>
  <c r="AL388" i="5"/>
  <c r="AK388" i="5"/>
  <c r="AK375" i="5"/>
  <c r="AL375" i="5"/>
  <c r="AK359" i="5"/>
  <c r="AL359" i="5"/>
  <c r="AK343" i="5"/>
  <c r="AL343" i="5"/>
  <c r="AK325" i="5"/>
  <c r="AL325" i="5"/>
  <c r="AL309" i="5"/>
  <c r="AK309" i="5"/>
  <c r="AK277" i="5"/>
  <c r="AL277" i="5"/>
  <c r="AL227" i="5"/>
  <c r="AK227" i="5"/>
  <c r="AK119" i="5"/>
  <c r="AL119" i="5"/>
  <c r="AL312" i="5"/>
  <c r="AK312" i="5"/>
  <c r="AL294" i="5"/>
  <c r="AK294" i="5"/>
  <c r="AL278" i="5"/>
  <c r="AK278" i="5"/>
  <c r="AL262" i="5"/>
  <c r="AK262" i="5"/>
  <c r="AL254" i="5"/>
  <c r="AK254" i="5"/>
  <c r="AL246" i="5"/>
  <c r="AK246" i="5"/>
  <c r="AL234" i="5"/>
  <c r="AK234" i="5"/>
  <c r="AK216" i="5"/>
  <c r="AL216" i="5"/>
  <c r="AK200" i="5"/>
  <c r="AL200" i="5"/>
  <c r="AK76" i="5"/>
  <c r="AL76" i="5"/>
  <c r="AK30" i="5"/>
  <c r="AL30" i="5"/>
  <c r="AK238" i="5"/>
  <c r="AL238" i="5"/>
  <c r="AK222" i="5"/>
  <c r="AL222" i="5"/>
  <c r="AK206" i="5"/>
  <c r="AL206" i="5"/>
  <c r="AK190" i="5"/>
  <c r="AL190" i="5"/>
  <c r="AL148" i="5"/>
  <c r="AK148" i="5"/>
  <c r="AK115" i="5"/>
  <c r="AL115" i="5"/>
  <c r="AL73" i="5"/>
  <c r="AK73" i="5"/>
  <c r="AL13" i="5"/>
  <c r="AK13" i="5"/>
  <c r="AK311" i="5"/>
  <c r="AL311" i="5"/>
  <c r="AL297" i="5"/>
  <c r="AK297" i="5"/>
  <c r="AK281" i="5"/>
  <c r="AL281" i="5"/>
  <c r="AK265" i="5"/>
  <c r="AL265" i="5"/>
  <c r="AL243" i="5"/>
  <c r="AK243" i="5"/>
  <c r="AK226" i="5"/>
  <c r="AL226" i="5"/>
  <c r="AL211" i="5"/>
  <c r="AK211" i="5"/>
  <c r="AK197" i="5"/>
  <c r="AL197" i="5"/>
  <c r="AK137" i="5"/>
  <c r="AL137" i="5"/>
  <c r="AK25" i="5"/>
  <c r="AL25" i="5"/>
  <c r="AL176" i="5"/>
  <c r="AK176" i="5"/>
  <c r="AL168" i="5"/>
  <c r="AK168" i="5"/>
  <c r="AL160" i="5"/>
  <c r="AK160" i="5"/>
  <c r="AL150" i="5"/>
  <c r="AK150" i="5"/>
  <c r="AK129" i="5"/>
  <c r="AL129" i="5"/>
  <c r="AK113" i="5"/>
  <c r="AL113" i="5"/>
  <c r="AK97" i="5"/>
  <c r="AL97" i="5"/>
  <c r="AL80" i="5"/>
  <c r="AK80" i="5"/>
  <c r="AL64" i="5"/>
  <c r="AK64" i="5"/>
  <c r="AK45" i="5"/>
  <c r="AL45" i="5"/>
  <c r="AK29" i="5"/>
  <c r="AL29" i="5"/>
  <c r="AK12" i="5"/>
  <c r="AL12" i="5"/>
  <c r="AK118" i="5"/>
  <c r="AK94" i="5"/>
  <c r="AL94" i="5"/>
  <c r="B66" i="5"/>
  <c r="B73" i="5" s="1"/>
  <c r="B67" i="5"/>
  <c r="B141" i="2"/>
  <c r="B215" i="2"/>
  <c r="B19" i="3"/>
  <c r="B20" i="3" s="1"/>
  <c r="B20" i="2" s="1"/>
  <c r="B213" i="2"/>
  <c r="B167" i="2"/>
  <c r="H87" i="1"/>
  <c r="B35" i="2"/>
  <c r="B33" i="2"/>
  <c r="B194" i="2"/>
  <c r="K8" i="2"/>
  <c r="Q53" i="1"/>
  <c r="AU8" i="5"/>
  <c r="B192" i="2"/>
  <c r="B191" i="2"/>
  <c r="B184" i="2"/>
  <c r="T7" i="5"/>
  <c r="V7" i="5" s="1"/>
  <c r="AV7" i="5"/>
  <c r="BC7" i="5"/>
  <c r="AU7" i="5"/>
  <c r="B3" i="8"/>
  <c r="B12" i="5"/>
  <c r="B5" i="8"/>
  <c r="B11" i="5"/>
  <c r="B4" i="8"/>
  <c r="M8" i="4"/>
  <c r="AP7" i="4"/>
  <c r="R15" i="4"/>
  <c r="R17" i="4"/>
  <c r="R19" i="4"/>
  <c r="R21" i="4"/>
  <c r="R23" i="4"/>
  <c r="R25" i="4"/>
  <c r="R27" i="4"/>
  <c r="R29" i="4"/>
  <c r="R31" i="4"/>
  <c r="R33" i="4"/>
  <c r="R35" i="4"/>
  <c r="R37" i="4"/>
  <c r="R39" i="4"/>
  <c r="R41" i="4"/>
  <c r="R20" i="4"/>
  <c r="R28" i="4"/>
  <c r="R36" i="4"/>
  <c r="R16" i="4"/>
  <c r="R30" i="4"/>
  <c r="R34" i="4"/>
  <c r="R44" i="4"/>
  <c r="R49" i="4"/>
  <c r="R52" i="4"/>
  <c r="R57" i="4"/>
  <c r="R60" i="4"/>
  <c r="R65" i="4"/>
  <c r="R68" i="4"/>
  <c r="R73" i="4"/>
  <c r="R76" i="4"/>
  <c r="R81" i="4"/>
  <c r="R84" i="4"/>
  <c r="R89" i="4"/>
  <c r="R92" i="4"/>
  <c r="R97" i="4"/>
  <c r="R100" i="4"/>
  <c r="R105" i="4"/>
  <c r="R108" i="4"/>
  <c r="R113" i="4"/>
  <c r="R116" i="4"/>
  <c r="R121" i="4"/>
  <c r="R124" i="4"/>
  <c r="R129" i="4"/>
  <c r="R132" i="4"/>
  <c r="R137" i="4"/>
  <c r="R140" i="4"/>
  <c r="R145" i="4"/>
  <c r="R148" i="4"/>
  <c r="R153" i="4"/>
  <c r="R156" i="4"/>
  <c r="R11" i="4"/>
  <c r="R14" i="4"/>
  <c r="R24" i="4"/>
  <c r="R38" i="4"/>
  <c r="R42" i="4"/>
  <c r="R47" i="4"/>
  <c r="R50" i="4"/>
  <c r="R55" i="4"/>
  <c r="R58" i="4"/>
  <c r="R63" i="4"/>
  <c r="R66" i="4"/>
  <c r="R71" i="4"/>
  <c r="R74" i="4"/>
  <c r="R79" i="4"/>
  <c r="R82" i="4"/>
  <c r="R87" i="4"/>
  <c r="R90" i="4"/>
  <c r="R95" i="4"/>
  <c r="R98" i="4"/>
  <c r="R103" i="4"/>
  <c r="R106" i="4"/>
  <c r="R111" i="4"/>
  <c r="R114" i="4"/>
  <c r="R119" i="4"/>
  <c r="R122" i="4"/>
  <c r="R127" i="4"/>
  <c r="R130" i="4"/>
  <c r="R135" i="4"/>
  <c r="R138" i="4"/>
  <c r="R143" i="4"/>
  <c r="R146" i="4"/>
  <c r="R151" i="4"/>
  <c r="R154" i="4"/>
  <c r="R9" i="4"/>
  <c r="R12" i="4"/>
  <c r="R18" i="4"/>
  <c r="R32" i="4"/>
  <c r="R45" i="4"/>
  <c r="R48" i="4"/>
  <c r="R53" i="4"/>
  <c r="R56" i="4"/>
  <c r="R61" i="4"/>
  <c r="R64" i="4"/>
  <c r="R69" i="4"/>
  <c r="R72" i="4"/>
  <c r="R77" i="4"/>
  <c r="R80" i="4"/>
  <c r="R85" i="4"/>
  <c r="R88" i="4"/>
  <c r="R93" i="4"/>
  <c r="R96" i="4"/>
  <c r="R101" i="4"/>
  <c r="R104" i="4"/>
  <c r="R109" i="4"/>
  <c r="R112" i="4"/>
  <c r="R117" i="4"/>
  <c r="R120" i="4"/>
  <c r="R125" i="4"/>
  <c r="R128" i="4"/>
  <c r="R133" i="4"/>
  <c r="R136" i="4"/>
  <c r="R141" i="4"/>
  <c r="R144" i="4"/>
  <c r="R149" i="4"/>
  <c r="R152" i="4"/>
  <c r="R157" i="4"/>
  <c r="R10" i="4"/>
  <c r="R22" i="4"/>
  <c r="R26" i="4"/>
  <c r="R40" i="4"/>
  <c r="R43" i="4"/>
  <c r="R46" i="4"/>
  <c r="R51" i="4"/>
  <c r="R54" i="4"/>
  <c r="R59" i="4"/>
  <c r="R62" i="4"/>
  <c r="R67" i="4"/>
  <c r="R70" i="4"/>
  <c r="R75" i="4"/>
  <c r="R78" i="4"/>
  <c r="R83" i="4"/>
  <c r="R86" i="4"/>
  <c r="R91" i="4"/>
  <c r="R94" i="4"/>
  <c r="R99" i="4"/>
  <c r="R102" i="4"/>
  <c r="R107" i="4"/>
  <c r="R110" i="4"/>
  <c r="R115" i="4"/>
  <c r="R118" i="4"/>
  <c r="R123" i="4"/>
  <c r="R126" i="4"/>
  <c r="R131" i="4"/>
  <c r="R134" i="4"/>
  <c r="R139" i="4"/>
  <c r="R142" i="4"/>
  <c r="R147" i="4"/>
  <c r="R150" i="4"/>
  <c r="R155" i="4"/>
  <c r="R8" i="4"/>
  <c r="R13" i="4"/>
  <c r="B23" i="5"/>
  <c r="O15" i="4"/>
  <c r="B149" i="2"/>
  <c r="H47" i="1" s="1"/>
  <c r="R7" i="4"/>
  <c r="B151" i="2"/>
  <c r="H49" i="1" s="1"/>
  <c r="O12" i="4"/>
  <c r="BA8" i="5"/>
  <c r="AX8" i="5"/>
  <c r="AZ13" i="5"/>
  <c r="T13" i="5"/>
  <c r="AW13" i="5"/>
  <c r="AT13" i="5"/>
  <c r="T8" i="5"/>
  <c r="U8" i="5" s="1"/>
  <c r="BC8" i="5"/>
  <c r="BE8" i="5" s="1"/>
  <c r="AZ12" i="5"/>
  <c r="T12" i="5"/>
  <c r="AW12" i="5"/>
  <c r="AT12" i="5"/>
  <c r="B47" i="5"/>
  <c r="B188" i="2"/>
  <c r="B171" i="2"/>
  <c r="H63" i="1" s="1"/>
  <c r="B173" i="2"/>
  <c r="B10" i="5"/>
  <c r="AY19" i="5"/>
  <c r="AX19" i="5"/>
  <c r="AX474" i="5"/>
  <c r="AY474" i="5"/>
  <c r="AX471" i="5"/>
  <c r="AY471" i="5"/>
  <c r="AY546" i="5"/>
  <c r="AX546" i="5"/>
  <c r="AX468" i="5"/>
  <c r="AY468" i="5"/>
  <c r="AY524" i="5"/>
  <c r="AX524" i="5"/>
  <c r="AY544" i="5"/>
  <c r="AX544" i="5"/>
  <c r="AY526" i="5"/>
  <c r="AX526" i="5"/>
  <c r="AX472" i="5"/>
  <c r="AY472" i="5"/>
  <c r="AX437" i="5"/>
  <c r="AY437" i="5"/>
  <c r="AX375" i="5"/>
  <c r="AY375" i="5"/>
  <c r="AX513" i="5"/>
  <c r="AY513" i="5"/>
  <c r="AY493" i="5"/>
  <c r="AX493" i="5"/>
  <c r="AX450" i="5"/>
  <c r="AY450" i="5"/>
  <c r="AY438" i="5"/>
  <c r="AX438" i="5"/>
  <c r="AX511" i="5"/>
  <c r="AY511" i="5"/>
  <c r="AY470" i="5"/>
  <c r="AX470" i="5"/>
  <c r="AX453" i="5"/>
  <c r="AY453" i="5"/>
  <c r="AX407" i="5"/>
  <c r="AY407" i="5"/>
  <c r="AY372" i="5"/>
  <c r="AX372" i="5"/>
  <c r="AX323" i="5"/>
  <c r="AY323" i="5"/>
  <c r="AX388" i="5"/>
  <c r="AY388" i="5"/>
  <c r="AX348" i="5"/>
  <c r="AY348" i="5"/>
  <c r="AX434" i="5"/>
  <c r="AY434" i="5"/>
  <c r="AX389" i="5"/>
  <c r="AY389" i="5"/>
  <c r="AX363" i="5"/>
  <c r="AY363" i="5"/>
  <c r="AY337" i="5"/>
  <c r="AX337" i="5"/>
  <c r="AX334" i="5"/>
  <c r="AY334" i="5"/>
  <c r="AY304" i="5"/>
  <c r="AX304" i="5"/>
  <c r="AX276" i="5"/>
  <c r="AY276" i="5"/>
  <c r="AX245" i="5"/>
  <c r="AY245" i="5"/>
  <c r="AY315" i="5"/>
  <c r="AX315" i="5"/>
  <c r="AX268" i="5"/>
  <c r="AY268" i="5"/>
  <c r="AX248" i="5"/>
  <c r="AY248" i="5"/>
  <c r="AX321" i="5"/>
  <c r="AY321" i="5"/>
  <c r="AY262" i="5"/>
  <c r="AX262" i="5"/>
  <c r="AX208" i="5"/>
  <c r="AY208" i="5"/>
  <c r="AX220" i="5"/>
  <c r="AY220" i="5"/>
  <c r="AX192" i="5"/>
  <c r="AY192" i="5"/>
  <c r="AX202" i="5"/>
  <c r="AY202" i="5"/>
  <c r="AX235" i="5"/>
  <c r="AY235" i="5"/>
  <c r="AX204" i="5"/>
  <c r="AY204" i="5"/>
  <c r="AX196" i="5"/>
  <c r="AY196" i="5"/>
  <c r="AY182" i="5"/>
  <c r="AX182" i="5"/>
  <c r="AX185" i="5"/>
  <c r="AY185" i="5"/>
  <c r="AX151" i="5"/>
  <c r="AY151" i="5"/>
  <c r="AX140" i="5"/>
  <c r="AY140" i="5"/>
  <c r="AX80" i="5"/>
  <c r="AY80" i="5"/>
  <c r="AX134" i="5"/>
  <c r="AY134" i="5"/>
  <c r="AX161" i="5"/>
  <c r="AY161" i="5"/>
  <c r="BC117" i="5"/>
  <c r="AX117" i="5"/>
  <c r="AY117" i="5"/>
  <c r="AX103" i="5"/>
  <c r="AY103" i="5"/>
  <c r="AX104" i="5"/>
  <c r="AY104" i="5"/>
  <c r="AY91" i="5"/>
  <c r="AX91" i="5"/>
  <c r="AX73" i="5"/>
  <c r="AY73" i="5"/>
  <c r="AX57" i="5"/>
  <c r="AY57" i="5"/>
  <c r="AX53" i="5"/>
  <c r="AY53" i="5"/>
  <c r="AX63" i="5"/>
  <c r="AY63" i="5"/>
  <c r="AX41" i="5"/>
  <c r="AY41" i="5"/>
  <c r="AX23" i="5"/>
  <c r="AY23" i="5"/>
  <c r="AV521" i="5"/>
  <c r="AU521" i="5"/>
  <c r="BC521" i="5"/>
  <c r="AU558" i="5"/>
  <c r="AV558" i="5"/>
  <c r="BC558" i="5"/>
  <c r="BC426" i="5"/>
  <c r="AV426" i="5"/>
  <c r="AU426" i="5"/>
  <c r="BC377" i="5"/>
  <c r="AV377" i="5"/>
  <c r="AU377" i="5"/>
  <c r="AV495" i="5"/>
  <c r="AU495" i="5"/>
  <c r="BC495" i="5"/>
  <c r="AV528" i="5"/>
  <c r="AU528" i="5"/>
  <c r="AV380" i="5"/>
  <c r="BC380" i="5"/>
  <c r="AU380" i="5"/>
  <c r="AU553" i="5"/>
  <c r="AV553" i="5"/>
  <c r="BC553" i="5"/>
  <c r="AV507" i="5"/>
  <c r="BC507" i="5"/>
  <c r="AU507" i="5"/>
  <c r="AV486" i="5"/>
  <c r="AU486" i="5"/>
  <c r="AV474" i="5"/>
  <c r="AU474" i="5"/>
  <c r="BC474" i="5"/>
  <c r="AV459" i="5"/>
  <c r="AU459" i="5"/>
  <c r="BC459" i="5"/>
  <c r="AV439" i="5"/>
  <c r="AU439" i="5"/>
  <c r="BC439" i="5"/>
  <c r="BC337" i="5"/>
  <c r="AV337" i="5"/>
  <c r="AU337" i="5"/>
  <c r="AV516" i="5"/>
  <c r="AU516" i="5"/>
  <c r="BC516" i="5"/>
  <c r="AU496" i="5"/>
  <c r="BC496" i="5"/>
  <c r="AV496" i="5"/>
  <c r="AV460" i="5"/>
  <c r="BC460" i="5"/>
  <c r="AU460" i="5"/>
  <c r="AV447" i="5"/>
  <c r="AU447" i="5"/>
  <c r="BC447" i="5"/>
  <c r="AV370" i="5"/>
  <c r="BC370" i="5"/>
  <c r="AU370" i="5"/>
  <c r="AV530" i="5"/>
  <c r="AU530" i="5"/>
  <c r="BC530" i="5"/>
  <c r="AV510" i="5"/>
  <c r="BC510" i="5"/>
  <c r="AU510" i="5"/>
  <c r="AV494" i="5"/>
  <c r="BC494" i="5"/>
  <c r="AU494" i="5"/>
  <c r="AV487" i="5"/>
  <c r="AU487" i="5"/>
  <c r="BC487" i="5"/>
  <c r="AV451" i="5"/>
  <c r="BC451" i="5"/>
  <c r="AU451" i="5"/>
  <c r="AV438" i="5"/>
  <c r="AU438" i="5"/>
  <c r="BC438" i="5"/>
  <c r="AV412" i="5"/>
  <c r="AU412" i="5"/>
  <c r="BC412" i="5"/>
  <c r="AV346" i="5"/>
  <c r="BC346" i="5"/>
  <c r="AU346" i="5"/>
  <c r="AU275" i="5"/>
  <c r="AV275" i="5"/>
  <c r="BC275" i="5"/>
  <c r="AV417" i="5"/>
  <c r="BC417" i="5"/>
  <c r="AU417" i="5"/>
  <c r="AV402" i="5"/>
  <c r="AU402" i="5"/>
  <c r="BC402" i="5"/>
  <c r="AU375" i="5"/>
  <c r="BC375" i="5"/>
  <c r="AV375" i="5"/>
  <c r="AV360" i="5"/>
  <c r="AU360" i="5"/>
  <c r="BC360" i="5"/>
  <c r="AV347" i="5"/>
  <c r="BC347" i="5"/>
  <c r="AU347" i="5"/>
  <c r="BC410" i="5"/>
  <c r="AV410" i="5"/>
  <c r="AU410" i="5"/>
  <c r="AV396" i="5"/>
  <c r="BC396" i="5"/>
  <c r="AU396" i="5"/>
  <c r="BC386" i="5"/>
  <c r="AV386" i="5"/>
  <c r="AU386" i="5"/>
  <c r="AU368" i="5"/>
  <c r="BC368" i="5"/>
  <c r="AV368" i="5"/>
  <c r="AV340" i="5"/>
  <c r="AU340" i="5"/>
  <c r="BC340" i="5"/>
  <c r="AU321" i="5"/>
  <c r="BC321" i="5"/>
  <c r="AV321" i="5"/>
  <c r="AU262" i="5"/>
  <c r="AV262" i="5"/>
  <c r="BC262" i="5"/>
  <c r="BC436" i="5"/>
  <c r="AV436" i="5"/>
  <c r="AU436" i="5"/>
  <c r="AV421" i="5"/>
  <c r="AU421" i="5"/>
  <c r="BC421" i="5"/>
  <c r="AV403" i="5"/>
  <c r="AU403" i="5"/>
  <c r="BC403" i="5"/>
  <c r="AV397" i="5"/>
  <c r="AU397" i="5"/>
  <c r="BC397" i="5"/>
  <c r="AV378" i="5"/>
  <c r="AU378" i="5"/>
  <c r="BC378" i="5"/>
  <c r="AV341" i="5"/>
  <c r="BC341" i="5"/>
  <c r="AU341" i="5"/>
  <c r="AU284" i="5"/>
  <c r="BC284" i="5"/>
  <c r="AV284" i="5"/>
  <c r="AV356" i="5"/>
  <c r="AU356" i="5"/>
  <c r="BC356" i="5"/>
  <c r="AV345" i="5"/>
  <c r="AU345" i="5"/>
  <c r="BC345" i="5"/>
  <c r="AV336" i="5"/>
  <c r="AU336" i="5"/>
  <c r="BC336" i="5"/>
  <c r="AV313" i="5"/>
  <c r="AU313" i="5"/>
  <c r="BC313" i="5"/>
  <c r="BC296" i="5"/>
  <c r="AV296" i="5"/>
  <c r="AU296" i="5"/>
  <c r="AV281" i="5"/>
  <c r="AU281" i="5"/>
  <c r="BC281" i="5"/>
  <c r="AU261" i="5"/>
  <c r="AV261" i="5"/>
  <c r="BC261" i="5"/>
  <c r="AU237" i="5"/>
  <c r="AV237" i="5"/>
  <c r="BC237" i="5"/>
  <c r="AV328" i="5"/>
  <c r="BC328" i="5"/>
  <c r="AU328" i="5"/>
  <c r="AU316" i="5"/>
  <c r="AV316" i="5"/>
  <c r="BC316" i="5"/>
  <c r="AV299" i="5"/>
  <c r="BC299" i="5"/>
  <c r="AU299" i="5"/>
  <c r="AU286" i="5"/>
  <c r="BC286" i="5"/>
  <c r="AV286" i="5"/>
  <c r="AU276" i="5"/>
  <c r="AV276" i="5"/>
  <c r="BC276" i="5"/>
  <c r="AU250" i="5"/>
  <c r="AV250" i="5"/>
  <c r="BC250" i="5"/>
  <c r="AU210" i="5"/>
  <c r="AV210" i="5"/>
  <c r="BC210" i="5"/>
  <c r="AV324" i="5"/>
  <c r="BC324" i="5"/>
  <c r="AU324" i="5"/>
  <c r="AV314" i="5"/>
  <c r="AU314" i="5"/>
  <c r="BC314" i="5"/>
  <c r="BC301" i="5"/>
  <c r="AV301" i="5"/>
  <c r="AU301" i="5"/>
  <c r="BC283" i="5"/>
  <c r="AU283" i="5"/>
  <c r="AV283" i="5"/>
  <c r="AV273" i="5"/>
  <c r="AU273" i="5"/>
  <c r="BC273" i="5"/>
  <c r="BC257" i="5"/>
  <c r="AU257" i="5"/>
  <c r="AV257" i="5"/>
  <c r="BC251" i="5"/>
  <c r="AU251" i="5"/>
  <c r="AV251" i="5"/>
  <c r="AV240" i="5"/>
  <c r="AU240" i="5"/>
  <c r="BC240" i="5"/>
  <c r="BC233" i="5"/>
  <c r="AU233" i="5"/>
  <c r="AV233" i="5"/>
  <c r="AV221" i="5"/>
  <c r="AU221" i="5"/>
  <c r="BC221" i="5"/>
  <c r="AV195" i="5"/>
  <c r="AU195" i="5"/>
  <c r="BC195" i="5"/>
  <c r="AV159" i="5"/>
  <c r="AU159" i="5"/>
  <c r="BC159" i="5"/>
  <c r="AU229" i="5"/>
  <c r="AV229" i="5"/>
  <c r="BC229" i="5"/>
  <c r="AV211" i="5"/>
  <c r="AU211" i="5"/>
  <c r="BC211" i="5"/>
  <c r="AU164" i="5"/>
  <c r="AV164" i="5"/>
  <c r="BC164" i="5"/>
  <c r="AU239" i="5"/>
  <c r="AV239" i="5"/>
  <c r="BC239" i="5"/>
  <c r="AU218" i="5"/>
  <c r="AV218" i="5"/>
  <c r="BC218" i="5"/>
  <c r="AU176" i="5"/>
  <c r="AV176" i="5"/>
  <c r="BC176" i="5"/>
  <c r="AU199" i="5"/>
  <c r="AV199" i="5"/>
  <c r="BC199" i="5"/>
  <c r="AU190" i="5"/>
  <c r="AV190" i="5"/>
  <c r="BC190" i="5"/>
  <c r="AV175" i="5"/>
  <c r="AU175" i="5"/>
  <c r="BC175" i="5"/>
  <c r="AU160" i="5"/>
  <c r="AV160" i="5"/>
  <c r="BC160" i="5"/>
  <c r="AU133" i="5"/>
  <c r="BC133" i="5"/>
  <c r="AV133" i="5"/>
  <c r="AV182" i="5"/>
  <c r="AU182" i="5"/>
  <c r="BC182" i="5"/>
  <c r="AV165" i="5"/>
  <c r="AU165" i="5"/>
  <c r="BC165" i="5"/>
  <c r="AU131" i="5"/>
  <c r="AV131" i="5"/>
  <c r="BC131" i="5"/>
  <c r="AV187" i="5"/>
  <c r="AU187" i="5"/>
  <c r="BC187" i="5"/>
  <c r="AU177" i="5"/>
  <c r="AV177" i="5"/>
  <c r="BC177" i="5"/>
  <c r="AV153" i="5"/>
  <c r="AU153" i="5"/>
  <c r="BC153" i="5"/>
  <c r="AU135" i="5"/>
  <c r="AV135" i="5"/>
  <c r="BC135" i="5"/>
  <c r="AU110" i="5"/>
  <c r="AV110" i="5"/>
  <c r="BC110" i="5"/>
  <c r="AU139" i="5"/>
  <c r="AV139" i="5"/>
  <c r="BC139" i="5"/>
  <c r="AU130" i="5"/>
  <c r="AV130" i="5"/>
  <c r="AU118" i="5"/>
  <c r="AV118" i="5"/>
  <c r="BC118" i="5"/>
  <c r="AU92" i="5"/>
  <c r="AV92" i="5"/>
  <c r="BC92" i="5"/>
  <c r="AU142" i="5"/>
  <c r="BC142" i="5"/>
  <c r="AV142" i="5"/>
  <c r="AV89" i="5"/>
  <c r="AU89" i="5"/>
  <c r="BC89" i="5"/>
  <c r="AV141" i="5"/>
  <c r="AU141" i="5"/>
  <c r="BC141" i="5"/>
  <c r="AU121" i="5"/>
  <c r="AV121" i="5"/>
  <c r="BC121" i="5"/>
  <c r="AU100" i="5"/>
  <c r="AV100" i="5"/>
  <c r="BC100" i="5"/>
  <c r="AV91" i="5"/>
  <c r="AU91" i="5"/>
  <c r="BC91" i="5"/>
  <c r="AV79" i="5"/>
  <c r="AU79" i="5"/>
  <c r="BC79" i="5"/>
  <c r="BC103" i="5"/>
  <c r="AU103" i="5"/>
  <c r="AV103" i="5"/>
  <c r="AV96" i="5"/>
  <c r="AU96" i="5"/>
  <c r="BC96" i="5"/>
  <c r="AV93" i="5"/>
  <c r="AU93" i="5"/>
  <c r="BC93" i="5"/>
  <c r="AU78" i="5"/>
  <c r="AV78" i="5"/>
  <c r="BC78" i="5"/>
  <c r="AV55" i="5"/>
  <c r="AU55" i="5"/>
  <c r="BC55" i="5"/>
  <c r="AU69" i="5"/>
  <c r="AV69" i="5"/>
  <c r="BC69" i="5"/>
  <c r="AV66" i="5"/>
  <c r="AU66" i="5"/>
  <c r="BC66" i="5"/>
  <c r="BC23" i="5"/>
  <c r="AU23" i="5"/>
  <c r="AV23" i="5"/>
  <c r="AU65" i="5"/>
  <c r="AV65" i="5"/>
  <c r="BC65" i="5"/>
  <c r="AV41" i="5"/>
  <c r="AU41" i="5"/>
  <c r="BC41" i="5"/>
  <c r="AU54" i="5"/>
  <c r="AV54" i="5"/>
  <c r="BC54" i="5"/>
  <c r="AV25" i="5"/>
  <c r="AU25" i="5"/>
  <c r="BC25" i="5"/>
  <c r="AV47" i="5"/>
  <c r="AU47" i="5"/>
  <c r="BC47" i="5"/>
  <c r="AU34" i="5"/>
  <c r="AV34" i="5"/>
  <c r="BC34" i="5"/>
  <c r="AU42" i="5"/>
  <c r="AV42" i="5"/>
  <c r="BC42" i="5"/>
  <c r="AV24" i="5"/>
  <c r="AU24" i="5"/>
  <c r="BC24" i="5"/>
  <c r="AU38" i="5"/>
  <c r="BC38" i="5"/>
  <c r="AV38" i="5"/>
  <c r="BC29" i="5"/>
  <c r="AV29" i="5"/>
  <c r="AU29" i="5"/>
  <c r="BB546" i="5"/>
  <c r="BA546" i="5"/>
  <c r="BA450" i="5"/>
  <c r="BB450" i="5"/>
  <c r="BB552" i="5"/>
  <c r="BA552" i="5"/>
  <c r="BB535" i="5"/>
  <c r="BA535" i="5"/>
  <c r="BA491" i="5"/>
  <c r="BB491" i="5"/>
  <c r="BA551" i="5"/>
  <c r="BB551" i="5"/>
  <c r="BA543" i="5"/>
  <c r="BB543" i="5"/>
  <c r="BB445" i="5"/>
  <c r="BA445" i="5"/>
  <c r="BB560" i="5"/>
  <c r="BA560" i="5"/>
  <c r="BA540" i="5"/>
  <c r="BB540" i="5"/>
  <c r="BA527" i="5"/>
  <c r="BB527" i="5"/>
  <c r="BB485" i="5"/>
  <c r="BA485" i="5"/>
  <c r="BB421" i="5"/>
  <c r="BA421" i="5"/>
  <c r="BB556" i="5"/>
  <c r="BA556" i="5"/>
  <c r="BA539" i="5"/>
  <c r="BB539" i="5"/>
  <c r="BA520" i="5"/>
  <c r="BB520" i="5"/>
  <c r="BB508" i="5"/>
  <c r="BA508" i="5"/>
  <c r="BB500" i="5"/>
  <c r="BA500" i="5"/>
  <c r="BB493" i="5"/>
  <c r="BA493" i="5"/>
  <c r="BB487" i="5"/>
  <c r="BA487" i="5"/>
  <c r="BA476" i="5"/>
  <c r="BB476" i="5"/>
  <c r="BB463" i="5"/>
  <c r="BA463" i="5"/>
  <c r="BB451" i="5"/>
  <c r="BA451" i="5"/>
  <c r="BB434" i="5"/>
  <c r="BA434" i="5"/>
  <c r="BB396" i="5"/>
  <c r="BA396" i="5"/>
  <c r="BB347" i="5"/>
  <c r="BA347" i="5"/>
  <c r="BB514" i="5"/>
  <c r="BA514" i="5"/>
  <c r="BA506" i="5"/>
  <c r="BB506" i="5"/>
  <c r="BA477" i="5"/>
  <c r="BB477" i="5"/>
  <c r="BB467" i="5"/>
  <c r="BA467" i="5"/>
  <c r="BA447" i="5"/>
  <c r="BB447" i="5"/>
  <c r="BA427" i="5"/>
  <c r="BB427" i="5"/>
  <c r="BB397" i="5"/>
  <c r="BA397" i="5"/>
  <c r="BA325" i="5"/>
  <c r="BB325" i="5"/>
  <c r="BB526" i="5"/>
  <c r="BA526" i="5"/>
  <c r="BB497" i="5"/>
  <c r="BA497" i="5"/>
  <c r="BB475" i="5"/>
  <c r="BA475" i="5"/>
  <c r="BB459" i="5"/>
  <c r="BA459" i="5"/>
  <c r="BB442" i="5"/>
  <c r="BA442" i="5"/>
  <c r="BA362" i="5"/>
  <c r="BB362" i="5"/>
  <c r="BB415" i="5"/>
  <c r="BA415" i="5"/>
  <c r="BB395" i="5"/>
  <c r="BA395" i="5"/>
  <c r="BB374" i="5"/>
  <c r="BA374" i="5"/>
  <c r="BB355" i="5"/>
  <c r="BA355" i="5"/>
  <c r="BB341" i="5"/>
  <c r="BA341" i="5"/>
  <c r="BA292" i="5"/>
  <c r="BB292" i="5"/>
  <c r="BB273" i="5"/>
  <c r="BA273" i="5"/>
  <c r="BA209" i="5"/>
  <c r="BB209" i="5"/>
  <c r="BA413" i="5"/>
  <c r="BB413" i="5"/>
  <c r="BA392" i="5"/>
  <c r="BB392" i="5"/>
  <c r="BB384" i="5"/>
  <c r="BA384" i="5"/>
  <c r="BB370" i="5"/>
  <c r="BA370" i="5"/>
  <c r="BB359" i="5"/>
  <c r="BA359" i="5"/>
  <c r="BA334" i="5"/>
  <c r="BB334" i="5"/>
  <c r="BB260" i="5"/>
  <c r="BA260" i="5"/>
  <c r="BA436" i="5"/>
  <c r="BB436" i="5"/>
  <c r="BA423" i="5"/>
  <c r="BB423" i="5"/>
  <c r="BA410" i="5"/>
  <c r="BB410" i="5"/>
  <c r="BA385" i="5"/>
  <c r="BB385" i="5"/>
  <c r="BB369" i="5"/>
  <c r="BA369" i="5"/>
  <c r="BB338" i="5"/>
  <c r="BA338" i="5"/>
  <c r="BA299" i="5"/>
  <c r="BB299" i="5"/>
  <c r="BA206" i="5"/>
  <c r="BB206" i="5"/>
  <c r="BA346" i="5"/>
  <c r="BB346" i="5"/>
  <c r="BA337" i="5"/>
  <c r="BB337" i="5"/>
  <c r="BB324" i="5"/>
  <c r="BA324" i="5"/>
  <c r="BB314" i="5"/>
  <c r="BA314" i="5"/>
  <c r="BB306" i="5"/>
  <c r="BA306" i="5"/>
  <c r="BB287" i="5"/>
  <c r="BA287" i="5"/>
  <c r="BB265" i="5"/>
  <c r="BA265" i="5"/>
  <c r="BB251" i="5"/>
  <c r="BA251" i="5"/>
  <c r="BB232" i="5"/>
  <c r="BA232" i="5"/>
  <c r="BB331" i="5"/>
  <c r="BA331" i="5"/>
  <c r="BA305" i="5"/>
  <c r="BB305" i="5"/>
  <c r="BA284" i="5"/>
  <c r="BB284" i="5"/>
  <c r="BA262" i="5"/>
  <c r="BB262" i="5"/>
  <c r="BB207" i="5"/>
  <c r="BA207" i="5"/>
  <c r="BB318" i="5"/>
  <c r="BA318" i="5"/>
  <c r="BB300" i="5"/>
  <c r="BA300" i="5"/>
  <c r="BB285" i="5"/>
  <c r="BA285" i="5"/>
  <c r="BB276" i="5"/>
  <c r="BA276" i="5"/>
  <c r="BB264" i="5"/>
  <c r="BA264" i="5"/>
  <c r="BB223" i="5"/>
  <c r="BA223" i="5"/>
  <c r="BB189" i="5"/>
  <c r="BA189" i="5"/>
  <c r="BA234" i="5"/>
  <c r="BB234" i="5"/>
  <c r="BB200" i="5"/>
  <c r="BA200" i="5"/>
  <c r="BB178" i="5"/>
  <c r="BA178" i="5"/>
  <c r="BB238" i="5"/>
  <c r="BA238" i="5"/>
  <c r="BB222" i="5"/>
  <c r="BA222" i="5"/>
  <c r="BB212" i="5"/>
  <c r="BA212" i="5"/>
  <c r="BB195" i="5"/>
  <c r="BA195" i="5"/>
  <c r="BB243" i="5"/>
  <c r="BA243" i="5"/>
  <c r="BB225" i="5"/>
  <c r="BA225" i="5"/>
  <c r="BB211" i="5"/>
  <c r="BA211" i="5"/>
  <c r="BA174" i="5"/>
  <c r="BB174" i="5"/>
  <c r="BB130" i="5"/>
  <c r="BA130" i="5"/>
  <c r="BB198" i="5"/>
  <c r="BA198" i="5"/>
  <c r="BA173" i="5"/>
  <c r="BB173" i="5"/>
  <c r="BA156" i="5"/>
  <c r="BB156" i="5"/>
  <c r="BA122" i="5"/>
  <c r="BB122" i="5"/>
  <c r="BB176" i="5"/>
  <c r="BA176" i="5"/>
  <c r="BA164" i="5"/>
  <c r="BB164" i="5"/>
  <c r="BA141" i="5"/>
  <c r="BB141" i="5"/>
  <c r="BA175" i="5"/>
  <c r="BB175" i="5"/>
  <c r="BB160" i="5"/>
  <c r="BA160" i="5"/>
  <c r="BA148" i="5"/>
  <c r="BB148" i="5"/>
  <c r="BB137" i="5"/>
  <c r="BA137" i="5"/>
  <c r="BA113" i="5"/>
  <c r="BB113" i="5"/>
  <c r="BA149" i="5"/>
  <c r="BB149" i="5"/>
  <c r="BB135" i="5"/>
  <c r="BA135" i="5"/>
  <c r="BA125" i="5"/>
  <c r="BB125" i="5"/>
  <c r="BB112" i="5"/>
  <c r="BA112" i="5"/>
  <c r="BA85" i="5"/>
  <c r="BB85" i="5"/>
  <c r="BB140" i="5"/>
  <c r="BA140" i="5"/>
  <c r="BA114" i="5"/>
  <c r="BB114" i="5"/>
  <c r="BA109" i="5"/>
  <c r="BB109" i="5"/>
  <c r="BB108" i="5"/>
  <c r="BA108" i="5"/>
  <c r="BB98" i="5"/>
  <c r="BA98" i="5"/>
  <c r="BA92" i="5"/>
  <c r="BB92" i="5"/>
  <c r="BB88" i="5"/>
  <c r="BA88" i="5"/>
  <c r="BB82" i="5"/>
  <c r="BA82" i="5"/>
  <c r="BA69" i="5"/>
  <c r="BB69" i="5"/>
  <c r="BB47" i="5"/>
  <c r="BA47" i="5"/>
  <c r="BA71" i="5"/>
  <c r="BB71" i="5"/>
  <c r="BB72" i="5"/>
  <c r="BA72" i="5"/>
  <c r="BA66" i="5"/>
  <c r="BB66" i="5"/>
  <c r="BA51" i="5"/>
  <c r="BB51" i="5"/>
  <c r="BB48" i="5"/>
  <c r="BA48" i="5"/>
  <c r="BA73" i="5"/>
  <c r="BB73" i="5"/>
  <c r="BB60" i="5"/>
  <c r="BA60" i="5"/>
  <c r="BB32" i="5"/>
  <c r="BA32" i="5"/>
  <c r="BA41" i="5"/>
  <c r="BB41" i="5"/>
  <c r="BB20" i="5"/>
  <c r="BA20" i="5"/>
  <c r="BA27" i="5"/>
  <c r="BB27" i="5"/>
  <c r="BA45" i="5"/>
  <c r="BB45" i="5"/>
  <c r="BA29" i="5"/>
  <c r="BB29" i="5"/>
  <c r="AY553" i="5"/>
  <c r="AX553" i="5"/>
  <c r="AX514" i="5"/>
  <c r="AY514" i="5"/>
  <c r="AY360" i="5"/>
  <c r="AX360" i="5"/>
  <c r="AX525" i="5"/>
  <c r="AY525" i="5"/>
  <c r="AX486" i="5"/>
  <c r="AY486" i="5"/>
  <c r="AX457" i="5"/>
  <c r="AY457" i="5"/>
  <c r="AY548" i="5"/>
  <c r="AX548" i="5"/>
  <c r="AY541" i="5"/>
  <c r="AX541" i="5"/>
  <c r="AY528" i="5"/>
  <c r="AX528" i="5"/>
  <c r="AY462" i="5"/>
  <c r="AX462" i="5"/>
  <c r="AX550" i="5"/>
  <c r="AY550" i="5"/>
  <c r="AX459" i="5"/>
  <c r="AY459" i="5"/>
  <c r="AY291" i="5"/>
  <c r="AX291" i="5"/>
  <c r="AY558" i="5"/>
  <c r="AX558" i="5"/>
  <c r="AY542" i="5"/>
  <c r="AX542" i="5"/>
  <c r="AX534" i="5"/>
  <c r="AY534" i="5"/>
  <c r="AX517" i="5"/>
  <c r="AY517" i="5"/>
  <c r="AX490" i="5"/>
  <c r="AY490" i="5"/>
  <c r="AX464" i="5"/>
  <c r="AY464" i="5"/>
  <c r="AX448" i="5"/>
  <c r="AY448" i="5"/>
  <c r="AX435" i="5"/>
  <c r="AY435" i="5"/>
  <c r="AX422" i="5"/>
  <c r="AY422" i="5"/>
  <c r="AX411" i="5"/>
  <c r="AY411" i="5"/>
  <c r="AX351" i="5"/>
  <c r="AY351" i="5"/>
  <c r="AX521" i="5"/>
  <c r="AY521" i="5"/>
  <c r="AY510" i="5"/>
  <c r="AX510" i="5"/>
  <c r="AY502" i="5"/>
  <c r="AX502" i="5"/>
  <c r="AX489" i="5"/>
  <c r="AY489" i="5"/>
  <c r="AY473" i="5"/>
  <c r="AX473" i="5"/>
  <c r="AX455" i="5"/>
  <c r="AY455" i="5"/>
  <c r="AX449" i="5"/>
  <c r="AY449" i="5"/>
  <c r="AX436" i="5"/>
  <c r="AY436" i="5"/>
  <c r="AX367" i="5"/>
  <c r="AY367" i="5"/>
  <c r="AX523" i="5"/>
  <c r="AY523" i="5"/>
  <c r="AY506" i="5"/>
  <c r="AX506" i="5"/>
  <c r="AX492" i="5"/>
  <c r="AY492" i="5"/>
  <c r="AX479" i="5"/>
  <c r="AY479" i="5"/>
  <c r="AX467" i="5"/>
  <c r="AY467" i="5"/>
  <c r="AY446" i="5"/>
  <c r="AX446" i="5"/>
  <c r="AX429" i="5"/>
  <c r="AY429" i="5"/>
  <c r="AY338" i="5"/>
  <c r="AX338" i="5"/>
  <c r="AX405" i="5"/>
  <c r="AY405" i="5"/>
  <c r="AX396" i="5"/>
  <c r="AY396" i="5"/>
  <c r="AX382" i="5"/>
  <c r="AY382" i="5"/>
  <c r="AX368" i="5"/>
  <c r="AY368" i="5"/>
  <c r="AY303" i="5"/>
  <c r="AX303" i="5"/>
  <c r="AX420" i="5"/>
  <c r="AY420" i="5"/>
  <c r="AY398" i="5"/>
  <c r="AX398" i="5"/>
  <c r="AX378" i="5"/>
  <c r="AY378" i="5"/>
  <c r="AX358" i="5"/>
  <c r="AY358" i="5"/>
  <c r="AX342" i="5"/>
  <c r="AY342" i="5"/>
  <c r="AX274" i="5"/>
  <c r="AY274" i="5"/>
  <c r="AX432" i="5"/>
  <c r="AY432" i="5"/>
  <c r="AX416" i="5"/>
  <c r="AY416" i="5"/>
  <c r="AX399" i="5"/>
  <c r="AY399" i="5"/>
  <c r="AX384" i="5"/>
  <c r="AY384" i="5"/>
  <c r="AX371" i="5"/>
  <c r="AY371" i="5"/>
  <c r="AX359" i="5"/>
  <c r="AY359" i="5"/>
  <c r="AX346" i="5"/>
  <c r="AY346" i="5"/>
  <c r="AX327" i="5"/>
  <c r="AY327" i="5"/>
  <c r="AX281" i="5"/>
  <c r="AY281" i="5"/>
  <c r="AY353" i="5"/>
  <c r="AX353" i="5"/>
  <c r="AX333" i="5"/>
  <c r="AY333" i="5"/>
  <c r="AX316" i="5"/>
  <c r="AY316" i="5"/>
  <c r="AY299" i="5"/>
  <c r="AX299" i="5"/>
  <c r="AY286" i="5"/>
  <c r="AX286" i="5"/>
  <c r="AY273" i="5"/>
  <c r="AX273" i="5"/>
  <c r="AY258" i="5"/>
  <c r="AX258" i="5"/>
  <c r="AX221" i="5"/>
  <c r="AY221" i="5"/>
  <c r="AY324" i="5"/>
  <c r="AX324" i="5"/>
  <c r="AY314" i="5"/>
  <c r="AX314" i="5"/>
  <c r="AY301" i="5"/>
  <c r="AX301" i="5"/>
  <c r="AY283" i="5"/>
  <c r="AX283" i="5"/>
  <c r="AY265" i="5"/>
  <c r="AX265" i="5"/>
  <c r="AX254" i="5"/>
  <c r="AY254" i="5"/>
  <c r="AX230" i="5"/>
  <c r="AY230" i="5"/>
  <c r="AX330" i="5"/>
  <c r="AY330" i="5"/>
  <c r="AY317" i="5"/>
  <c r="AX317" i="5"/>
  <c r="AY298" i="5"/>
  <c r="AX298" i="5"/>
  <c r="AX278" i="5"/>
  <c r="AY278" i="5"/>
  <c r="AX256" i="5"/>
  <c r="AY256" i="5"/>
  <c r="AX236" i="5"/>
  <c r="AY236" i="5"/>
  <c r="AY163" i="5"/>
  <c r="AX163" i="5"/>
  <c r="AX227" i="5"/>
  <c r="AY227" i="5"/>
  <c r="AY218" i="5"/>
  <c r="AX218" i="5"/>
  <c r="AY201" i="5"/>
  <c r="AX201" i="5"/>
  <c r="AX189" i="5"/>
  <c r="AY189" i="5"/>
  <c r="AY172" i="5"/>
  <c r="AX172" i="5"/>
  <c r="AY234" i="5"/>
  <c r="AX234" i="5"/>
  <c r="AX199" i="5"/>
  <c r="AY199" i="5"/>
  <c r="AX242" i="5"/>
  <c r="AY242" i="5"/>
  <c r="AX228" i="5"/>
  <c r="AY228" i="5"/>
  <c r="BC217" i="5"/>
  <c r="AX217" i="5"/>
  <c r="AY217" i="5"/>
  <c r="AX203" i="5"/>
  <c r="AY203" i="5"/>
  <c r="AY160" i="5"/>
  <c r="AX160" i="5"/>
  <c r="AX207" i="5"/>
  <c r="AY207" i="5"/>
  <c r="AX191" i="5"/>
  <c r="AY191" i="5"/>
  <c r="AX171" i="5"/>
  <c r="AY171" i="5"/>
  <c r="BC119" i="5"/>
  <c r="AY119" i="5"/>
  <c r="AX119" i="5"/>
  <c r="AX173" i="5"/>
  <c r="AY173" i="5"/>
  <c r="AY180" i="5"/>
  <c r="AX180" i="5"/>
  <c r="AX166" i="5"/>
  <c r="AY166" i="5"/>
  <c r="AX113" i="5"/>
  <c r="AY113" i="5"/>
  <c r="AX150" i="5"/>
  <c r="AY150" i="5"/>
  <c r="AX133" i="5"/>
  <c r="AY133" i="5"/>
  <c r="AY121" i="5"/>
  <c r="AX121" i="5"/>
  <c r="AY105" i="5"/>
  <c r="AX105" i="5"/>
  <c r="BC64" i="5"/>
  <c r="AY64" i="5"/>
  <c r="AX64" i="5"/>
  <c r="AX143" i="5"/>
  <c r="AY143" i="5"/>
  <c r="AX132" i="5"/>
  <c r="AY132" i="5"/>
  <c r="AX116" i="5"/>
  <c r="AY116" i="5"/>
  <c r="AX158" i="5"/>
  <c r="AY158" i="5"/>
  <c r="AX138" i="5"/>
  <c r="AY138" i="5"/>
  <c r="AX125" i="5"/>
  <c r="AY125" i="5"/>
  <c r="AX112" i="5"/>
  <c r="AY112" i="5"/>
  <c r="AX97" i="5"/>
  <c r="AY97" i="5"/>
  <c r="AX96" i="5"/>
  <c r="AY96" i="5"/>
  <c r="AY89" i="5"/>
  <c r="AX89" i="5"/>
  <c r="AY101" i="5"/>
  <c r="AX101" i="5"/>
  <c r="AX85" i="5"/>
  <c r="AY85" i="5"/>
  <c r="AX72" i="5"/>
  <c r="AY72" i="5"/>
  <c r="AY88" i="5"/>
  <c r="AX88" i="5"/>
  <c r="AY68" i="5"/>
  <c r="AX68" i="5"/>
  <c r="AY60" i="5"/>
  <c r="AX60" i="5"/>
  <c r="AX71" i="5"/>
  <c r="AY71" i="5"/>
  <c r="AX56" i="5"/>
  <c r="AY56" i="5"/>
  <c r="AX47" i="5"/>
  <c r="AY47" i="5"/>
  <c r="AX61" i="5"/>
  <c r="AY61" i="5"/>
  <c r="AX51" i="5"/>
  <c r="AY51" i="5"/>
  <c r="AY52" i="5"/>
  <c r="AX52" i="5"/>
  <c r="AX35" i="5"/>
  <c r="AY35" i="5"/>
  <c r="AX21" i="5"/>
  <c r="AY21" i="5"/>
  <c r="AX38" i="5"/>
  <c r="AY38" i="5"/>
  <c r="AX20" i="5"/>
  <c r="AY20" i="5"/>
  <c r="AX31" i="5"/>
  <c r="AY31" i="5"/>
  <c r="AX22" i="5"/>
  <c r="AY22" i="5"/>
  <c r="AV538" i="5"/>
  <c r="BC538" i="5"/>
  <c r="AU538" i="5"/>
  <c r="AV503" i="5"/>
  <c r="AU503" i="5"/>
  <c r="BC503" i="5"/>
  <c r="AU446" i="5"/>
  <c r="BC446" i="5"/>
  <c r="AV446" i="5"/>
  <c r="AU556" i="5"/>
  <c r="AV556" i="5"/>
  <c r="BC556" i="5"/>
  <c r="AU511" i="5"/>
  <c r="BC511" i="5"/>
  <c r="AV511" i="5"/>
  <c r="BC432" i="5"/>
  <c r="AV432" i="5"/>
  <c r="AU432" i="5"/>
  <c r="AV413" i="5"/>
  <c r="AU413" i="5"/>
  <c r="BC413" i="5"/>
  <c r="AU365" i="5"/>
  <c r="AV365" i="5"/>
  <c r="BC365" i="5"/>
  <c r="AV532" i="5"/>
  <c r="AU532" i="5"/>
  <c r="BC532" i="5"/>
  <c r="AV533" i="5"/>
  <c r="BC533" i="5"/>
  <c r="AU533" i="5"/>
  <c r="AV484" i="5"/>
  <c r="BC484" i="5"/>
  <c r="AU484" i="5"/>
  <c r="AV441" i="5"/>
  <c r="AU441" i="5"/>
  <c r="BC441" i="5"/>
  <c r="AV541" i="5"/>
  <c r="AU541" i="5"/>
  <c r="BC541" i="5"/>
  <c r="AV520" i="5"/>
  <c r="AU520" i="5"/>
  <c r="BC520" i="5"/>
  <c r="AV482" i="5"/>
  <c r="BC482" i="5"/>
  <c r="AU482" i="5"/>
  <c r="AV463" i="5"/>
  <c r="AU463" i="5"/>
  <c r="BC463" i="5"/>
  <c r="AU204" i="5"/>
  <c r="AV204" i="5"/>
  <c r="BC204" i="5"/>
  <c r="AU551" i="5"/>
  <c r="BC551" i="5"/>
  <c r="AV551" i="5"/>
  <c r="AV546" i="5"/>
  <c r="AU546" i="5"/>
  <c r="BC546" i="5"/>
  <c r="AU524" i="5"/>
  <c r="BC524" i="5"/>
  <c r="AV524" i="5"/>
  <c r="AV505" i="5"/>
  <c r="AU505" i="5"/>
  <c r="BC505" i="5"/>
  <c r="AV480" i="5"/>
  <c r="AU480" i="5"/>
  <c r="BC480" i="5"/>
  <c r="AV471" i="5"/>
  <c r="AU471" i="5"/>
  <c r="BC471" i="5"/>
  <c r="AV457" i="5"/>
  <c r="BC457" i="5"/>
  <c r="AU457" i="5"/>
  <c r="AV423" i="5"/>
  <c r="BC423" i="5"/>
  <c r="AU423" i="5"/>
  <c r="AU302" i="5"/>
  <c r="BC302" i="5"/>
  <c r="AV302" i="5"/>
  <c r="AV515" i="5"/>
  <c r="AU515" i="5"/>
  <c r="BC515" i="5"/>
  <c r="AV491" i="5"/>
  <c r="AU491" i="5"/>
  <c r="BC491" i="5"/>
  <c r="AV475" i="5"/>
  <c r="AU475" i="5"/>
  <c r="BC475" i="5"/>
  <c r="AV458" i="5"/>
  <c r="AU458" i="5"/>
  <c r="BC458" i="5"/>
  <c r="BC442" i="5"/>
  <c r="AV442" i="5"/>
  <c r="AU442" i="5"/>
  <c r="BC422" i="5"/>
  <c r="AV422" i="5"/>
  <c r="AU422" i="5"/>
  <c r="AU357" i="5"/>
  <c r="BC357" i="5"/>
  <c r="AV357" i="5"/>
  <c r="AV522" i="5"/>
  <c r="AU522" i="5"/>
  <c r="BC522" i="5"/>
  <c r="BC508" i="5"/>
  <c r="AV508" i="5"/>
  <c r="AU508" i="5"/>
  <c r="AV493" i="5"/>
  <c r="AU493" i="5"/>
  <c r="BC493" i="5"/>
  <c r="AV481" i="5"/>
  <c r="BC481" i="5"/>
  <c r="AU481" i="5"/>
  <c r="BC450" i="5"/>
  <c r="AV450" i="5"/>
  <c r="AU450" i="5"/>
  <c r="AV431" i="5"/>
  <c r="AU431" i="5"/>
  <c r="BC431" i="5"/>
  <c r="AV379" i="5"/>
  <c r="AU379" i="5"/>
  <c r="BC379" i="5"/>
  <c r="AV344" i="5"/>
  <c r="AU344" i="5"/>
  <c r="BC344" i="5"/>
  <c r="AU256" i="5"/>
  <c r="AV256" i="5"/>
  <c r="BC256" i="5"/>
  <c r="AV414" i="5"/>
  <c r="AU414" i="5"/>
  <c r="BC414" i="5"/>
  <c r="AV390" i="5"/>
  <c r="AU390" i="5"/>
  <c r="BC390" i="5"/>
  <c r="AV373" i="5"/>
  <c r="BC373" i="5"/>
  <c r="AU373" i="5"/>
  <c r="BC353" i="5"/>
  <c r="AV353" i="5"/>
  <c r="AU353" i="5"/>
  <c r="BC339" i="5"/>
  <c r="AV339" i="5"/>
  <c r="AU339" i="5"/>
  <c r="AV409" i="5"/>
  <c r="AU409" i="5"/>
  <c r="BC409" i="5"/>
  <c r="AV393" i="5"/>
  <c r="AU393" i="5"/>
  <c r="BC393" i="5"/>
  <c r="AV381" i="5"/>
  <c r="BC381" i="5"/>
  <c r="AU381" i="5"/>
  <c r="AV367" i="5"/>
  <c r="AU367" i="5"/>
  <c r="BC367" i="5"/>
  <c r="AV333" i="5"/>
  <c r="AU333" i="5"/>
  <c r="BC333" i="5"/>
  <c r="AV298" i="5"/>
  <c r="AU298" i="5"/>
  <c r="BC298" i="5"/>
  <c r="AU226" i="5"/>
  <c r="AV226" i="5"/>
  <c r="BC226" i="5"/>
  <c r="AV433" i="5"/>
  <c r="AU433" i="5"/>
  <c r="BC433" i="5"/>
  <c r="AV420" i="5"/>
  <c r="BC420" i="5"/>
  <c r="AU420" i="5"/>
  <c r="AV401" i="5"/>
  <c r="AU401" i="5"/>
  <c r="BC401" i="5"/>
  <c r="AV394" i="5"/>
  <c r="BC394" i="5"/>
  <c r="AU394" i="5"/>
  <c r="AV374" i="5"/>
  <c r="AU374" i="5"/>
  <c r="BC374" i="5"/>
  <c r="AV330" i="5"/>
  <c r="BC330" i="5"/>
  <c r="AU330" i="5"/>
  <c r="AU231" i="5"/>
  <c r="AV231" i="5"/>
  <c r="BC231" i="5"/>
  <c r="AU354" i="5"/>
  <c r="AV354" i="5"/>
  <c r="BC354" i="5"/>
  <c r="AV343" i="5"/>
  <c r="AU343" i="5"/>
  <c r="AV335" i="5"/>
  <c r="AU335" i="5"/>
  <c r="BC335" i="5"/>
  <c r="AU307" i="5"/>
  <c r="BC307" i="5"/>
  <c r="AV307" i="5"/>
  <c r="AV291" i="5"/>
  <c r="AU291" i="5"/>
  <c r="BC291" i="5"/>
  <c r="AU271" i="5"/>
  <c r="AV271" i="5"/>
  <c r="BC271" i="5"/>
  <c r="AV259" i="5"/>
  <c r="AU259" i="5"/>
  <c r="BC259" i="5"/>
  <c r="AU200" i="5"/>
  <c r="AV200" i="5"/>
  <c r="BC200" i="5"/>
  <c r="AV327" i="5"/>
  <c r="AU327" i="5"/>
  <c r="BC327" i="5"/>
  <c r="AU311" i="5"/>
  <c r="BC311" i="5"/>
  <c r="AV311" i="5"/>
  <c r="AV297" i="5"/>
  <c r="AU297" i="5"/>
  <c r="BC297" i="5"/>
  <c r="AV282" i="5"/>
  <c r="AU282" i="5"/>
  <c r="BC282" i="5"/>
  <c r="AU270" i="5"/>
  <c r="AV270" i="5"/>
  <c r="BC270" i="5"/>
  <c r="AU246" i="5"/>
  <c r="AV246" i="5"/>
  <c r="BC246" i="5"/>
  <c r="AV205" i="5"/>
  <c r="BC205" i="5"/>
  <c r="AU205" i="5"/>
  <c r="AV322" i="5"/>
  <c r="BC322" i="5"/>
  <c r="AU322" i="5"/>
  <c r="AU312" i="5"/>
  <c r="BC312" i="5"/>
  <c r="AV312" i="5"/>
  <c r="AV295" i="5"/>
  <c r="AU295" i="5"/>
  <c r="BC295" i="5"/>
  <c r="AU280" i="5"/>
  <c r="AV280" i="5"/>
  <c r="BC280" i="5"/>
  <c r="AU265" i="5"/>
  <c r="BC265" i="5"/>
  <c r="AV265" i="5"/>
  <c r="AU255" i="5"/>
  <c r="BC255" i="5"/>
  <c r="AV255" i="5"/>
  <c r="AU249" i="5"/>
  <c r="AV249" i="5"/>
  <c r="BC249" i="5"/>
  <c r="AU238" i="5"/>
  <c r="AV238" i="5"/>
  <c r="BC238" i="5"/>
  <c r="AU230" i="5"/>
  <c r="AV230" i="5"/>
  <c r="BC230" i="5"/>
  <c r="AV217" i="5"/>
  <c r="AU217" i="5"/>
  <c r="BC191" i="5"/>
  <c r="AV191" i="5"/>
  <c r="AU191" i="5"/>
  <c r="AU243" i="5"/>
  <c r="AV243" i="5"/>
  <c r="BC243" i="5"/>
  <c r="AV224" i="5"/>
  <c r="AU224" i="5"/>
  <c r="BC224" i="5"/>
  <c r="AU209" i="5"/>
  <c r="AV209" i="5"/>
  <c r="BC209" i="5"/>
  <c r="AU248" i="5"/>
  <c r="AV248" i="5"/>
  <c r="BC248" i="5"/>
  <c r="AV234" i="5"/>
  <c r="BC234" i="5"/>
  <c r="AU234" i="5"/>
  <c r="AV215" i="5"/>
  <c r="BC215" i="5"/>
  <c r="AU215" i="5"/>
  <c r="AU154" i="5"/>
  <c r="AV154" i="5"/>
  <c r="BC154" i="5"/>
  <c r="AU198" i="5"/>
  <c r="AV198" i="5"/>
  <c r="BC198" i="5"/>
  <c r="AU189" i="5"/>
  <c r="AV189" i="5"/>
  <c r="BC189" i="5"/>
  <c r="AU172" i="5"/>
  <c r="AV172" i="5"/>
  <c r="BC172" i="5"/>
  <c r="AV157" i="5"/>
  <c r="AU157" i="5"/>
  <c r="BC157" i="5"/>
  <c r="AV111" i="5"/>
  <c r="AU111" i="5"/>
  <c r="BC111" i="5"/>
  <c r="AV181" i="5"/>
  <c r="AU181" i="5"/>
  <c r="BC181" i="5"/>
  <c r="AV163" i="5"/>
  <c r="AU163" i="5"/>
  <c r="BC163" i="5"/>
  <c r="AU128" i="5"/>
  <c r="AV128" i="5"/>
  <c r="AV183" i="5"/>
  <c r="AU183" i="5"/>
  <c r="BC183" i="5"/>
  <c r="AU173" i="5"/>
  <c r="AV173" i="5"/>
  <c r="BC173" i="5"/>
  <c r="AU150" i="5"/>
  <c r="BC150" i="5"/>
  <c r="AV150" i="5"/>
  <c r="AV129" i="5"/>
  <c r="AU129" i="5"/>
  <c r="BC129" i="5"/>
  <c r="AV84" i="5"/>
  <c r="AU84" i="5"/>
  <c r="BC84" i="5"/>
  <c r="AU138" i="5"/>
  <c r="BC138" i="5"/>
  <c r="AV138" i="5"/>
  <c r="AV122" i="5"/>
  <c r="AU122" i="5"/>
  <c r="BC122" i="5"/>
  <c r="BC109" i="5"/>
  <c r="AU109" i="5"/>
  <c r="AV109" i="5"/>
  <c r="AU156" i="5"/>
  <c r="AV156" i="5"/>
  <c r="BC156" i="5"/>
  <c r="AV126" i="5"/>
  <c r="AU126" i="5"/>
  <c r="BC126" i="5"/>
  <c r="AU71" i="5"/>
  <c r="AV71" i="5"/>
  <c r="BC71" i="5"/>
  <c r="AU136" i="5"/>
  <c r="AV136" i="5"/>
  <c r="BC136" i="5"/>
  <c r="AV115" i="5"/>
  <c r="BC115" i="5"/>
  <c r="AU115" i="5"/>
  <c r="AV83" i="5"/>
  <c r="AU83" i="5"/>
  <c r="BC83" i="5"/>
  <c r="AU88" i="5"/>
  <c r="AV88" i="5"/>
  <c r="BC88" i="5"/>
  <c r="AU75" i="5"/>
  <c r="AV75" i="5"/>
  <c r="BC75" i="5"/>
  <c r="AV102" i="5"/>
  <c r="AU102" i="5"/>
  <c r="BC102" i="5"/>
  <c r="AU87" i="5"/>
  <c r="AV87" i="5"/>
  <c r="BC87" i="5"/>
  <c r="AU90" i="5"/>
  <c r="AV90" i="5"/>
  <c r="BC90" i="5"/>
  <c r="AV77" i="5"/>
  <c r="AU77" i="5"/>
  <c r="BC77" i="5"/>
  <c r="BC52" i="5"/>
  <c r="AU52" i="5"/>
  <c r="AV52" i="5"/>
  <c r="BC22" i="5"/>
  <c r="AV22" i="5"/>
  <c r="AU22" i="5"/>
  <c r="AV63" i="5"/>
  <c r="AU63" i="5"/>
  <c r="BC63" i="5"/>
  <c r="AV20" i="5"/>
  <c r="AU20" i="5"/>
  <c r="BC20" i="5"/>
  <c r="AU62" i="5"/>
  <c r="AV62" i="5"/>
  <c r="BC62" i="5"/>
  <c r="AU64" i="5"/>
  <c r="AV64" i="5"/>
  <c r="AV53" i="5"/>
  <c r="AU53" i="5"/>
  <c r="BC53" i="5"/>
  <c r="AU51" i="5"/>
  <c r="AV51" i="5"/>
  <c r="BC51" i="5"/>
  <c r="AU43" i="5"/>
  <c r="AV43" i="5"/>
  <c r="BC43" i="5"/>
  <c r="AV31" i="5"/>
  <c r="AU31" i="5"/>
  <c r="BC31" i="5"/>
  <c r="AV39" i="5"/>
  <c r="AU39" i="5"/>
  <c r="BC39" i="5"/>
  <c r="BC21" i="5"/>
  <c r="AV21" i="5"/>
  <c r="AU21" i="5"/>
  <c r="AU35" i="5"/>
  <c r="AV35" i="5"/>
  <c r="BC35" i="5"/>
  <c r="B44" i="5"/>
  <c r="BB537" i="5"/>
  <c r="BA537" i="5"/>
  <c r="BA438" i="5"/>
  <c r="BB438" i="5"/>
  <c r="BA547" i="5"/>
  <c r="BB547" i="5"/>
  <c r="BB533" i="5"/>
  <c r="BA533" i="5"/>
  <c r="BA481" i="5"/>
  <c r="BB481" i="5"/>
  <c r="BB550" i="5"/>
  <c r="BA550" i="5"/>
  <c r="BB538" i="5"/>
  <c r="BA538" i="5"/>
  <c r="BB437" i="5"/>
  <c r="BA437" i="5"/>
  <c r="BA557" i="5"/>
  <c r="BB557" i="5"/>
  <c r="BB536" i="5"/>
  <c r="BA536" i="5"/>
  <c r="BA521" i="5"/>
  <c r="BB521" i="5"/>
  <c r="BA456" i="5"/>
  <c r="BB456" i="5"/>
  <c r="BA328" i="5"/>
  <c r="BB328" i="5"/>
  <c r="BB555" i="5"/>
  <c r="BA555" i="5"/>
  <c r="BB530" i="5"/>
  <c r="BA530" i="5"/>
  <c r="BA518" i="5"/>
  <c r="BB518" i="5"/>
  <c r="BB505" i="5"/>
  <c r="BA505" i="5"/>
  <c r="BA499" i="5"/>
  <c r="BB499" i="5"/>
  <c r="BA492" i="5"/>
  <c r="BB492" i="5"/>
  <c r="BA486" i="5"/>
  <c r="BB486" i="5"/>
  <c r="BB473" i="5"/>
  <c r="BA473" i="5"/>
  <c r="BB455" i="5"/>
  <c r="BA455" i="5"/>
  <c r="BB444" i="5"/>
  <c r="BA444" i="5"/>
  <c r="BA432" i="5"/>
  <c r="BB432" i="5"/>
  <c r="BA387" i="5"/>
  <c r="BB387" i="5"/>
  <c r="BA308" i="5"/>
  <c r="BB308" i="5"/>
  <c r="BA512" i="5"/>
  <c r="BB512" i="5"/>
  <c r="BB498" i="5"/>
  <c r="BA498" i="5"/>
  <c r="BB474" i="5"/>
  <c r="BA474" i="5"/>
  <c r="BB465" i="5"/>
  <c r="BA465" i="5"/>
  <c r="BA446" i="5"/>
  <c r="BB446" i="5"/>
  <c r="BA426" i="5"/>
  <c r="BB426" i="5"/>
  <c r="BB394" i="5"/>
  <c r="BA394" i="5"/>
  <c r="BA270" i="5"/>
  <c r="BB270" i="5"/>
  <c r="BB525" i="5"/>
  <c r="BA525" i="5"/>
  <c r="BB496" i="5"/>
  <c r="BA496" i="5"/>
  <c r="BA472" i="5"/>
  <c r="BB472" i="5"/>
  <c r="BB458" i="5"/>
  <c r="BA458" i="5"/>
  <c r="BA422" i="5"/>
  <c r="BB422" i="5"/>
  <c r="BB354" i="5"/>
  <c r="BA354" i="5"/>
  <c r="BB406" i="5"/>
  <c r="BA406" i="5"/>
  <c r="BA388" i="5"/>
  <c r="BB388" i="5"/>
  <c r="BA371" i="5"/>
  <c r="BB371" i="5"/>
  <c r="BB349" i="5"/>
  <c r="BA349" i="5"/>
  <c r="BB340" i="5"/>
  <c r="BA340" i="5"/>
  <c r="BA289" i="5"/>
  <c r="BB289" i="5"/>
  <c r="BB267" i="5"/>
  <c r="BA267" i="5"/>
  <c r="BA419" i="5"/>
  <c r="BB419" i="5"/>
  <c r="BA408" i="5"/>
  <c r="BB408" i="5"/>
  <c r="BB390" i="5"/>
  <c r="BA390" i="5"/>
  <c r="BB380" i="5"/>
  <c r="BA380" i="5"/>
  <c r="BB365" i="5"/>
  <c r="BA365" i="5"/>
  <c r="BA356" i="5"/>
  <c r="BB356" i="5"/>
  <c r="BA304" i="5"/>
  <c r="BB304" i="5"/>
  <c r="BB252" i="5"/>
  <c r="BA252" i="5"/>
  <c r="BB435" i="5"/>
  <c r="BA435" i="5"/>
  <c r="BA420" i="5"/>
  <c r="BB420" i="5"/>
  <c r="BB409" i="5"/>
  <c r="BA409" i="5"/>
  <c r="BA383" i="5"/>
  <c r="BB383" i="5"/>
  <c r="BB367" i="5"/>
  <c r="BA367" i="5"/>
  <c r="BB335" i="5"/>
  <c r="BA335" i="5"/>
  <c r="BB258" i="5"/>
  <c r="BA258" i="5"/>
  <c r="BB358" i="5"/>
  <c r="BA358" i="5"/>
  <c r="BA344" i="5"/>
  <c r="BB344" i="5"/>
  <c r="BA332" i="5"/>
  <c r="BB332" i="5"/>
  <c r="BB322" i="5"/>
  <c r="BA322" i="5"/>
  <c r="BB312" i="5"/>
  <c r="BA312" i="5"/>
  <c r="BA302" i="5"/>
  <c r="BB302" i="5"/>
  <c r="BB283" i="5"/>
  <c r="BA283" i="5"/>
  <c r="BB263" i="5"/>
  <c r="BA263" i="5"/>
  <c r="BB249" i="5"/>
  <c r="BA249" i="5"/>
  <c r="BA227" i="5"/>
  <c r="BB227" i="5"/>
  <c r="BB326" i="5"/>
  <c r="BA326" i="5"/>
  <c r="BB298" i="5"/>
  <c r="BA298" i="5"/>
  <c r="BA278" i="5"/>
  <c r="BB278" i="5"/>
  <c r="BB256" i="5"/>
  <c r="BA256" i="5"/>
  <c r="BA157" i="5"/>
  <c r="BB157" i="5"/>
  <c r="BB313" i="5"/>
  <c r="BA313" i="5"/>
  <c r="BB296" i="5"/>
  <c r="BA296" i="5"/>
  <c r="BA282" i="5"/>
  <c r="BB282" i="5"/>
  <c r="BB274" i="5"/>
  <c r="BA274" i="5"/>
  <c r="BB261" i="5"/>
  <c r="BA261" i="5"/>
  <c r="BB220" i="5"/>
  <c r="BA220" i="5"/>
  <c r="BA240" i="5"/>
  <c r="BB240" i="5"/>
  <c r="BA231" i="5"/>
  <c r="BB231" i="5"/>
  <c r="BA199" i="5"/>
  <c r="BB199" i="5"/>
  <c r="BB161" i="5"/>
  <c r="BA161" i="5"/>
  <c r="BB235" i="5"/>
  <c r="BA235" i="5"/>
  <c r="BA219" i="5"/>
  <c r="BB219" i="5"/>
  <c r="BB210" i="5"/>
  <c r="BA210" i="5"/>
  <c r="BB194" i="5"/>
  <c r="BA194" i="5"/>
  <c r="BA236" i="5"/>
  <c r="BB236" i="5"/>
  <c r="BB221" i="5"/>
  <c r="BA221" i="5"/>
  <c r="BA208" i="5"/>
  <c r="BB208" i="5"/>
  <c r="BA171" i="5"/>
  <c r="BB171" i="5"/>
  <c r="BA118" i="5"/>
  <c r="BB118" i="5"/>
  <c r="BB197" i="5"/>
  <c r="BA197" i="5"/>
  <c r="BB168" i="5"/>
  <c r="BA168" i="5"/>
  <c r="BB152" i="5"/>
  <c r="BA152" i="5"/>
  <c r="BA115" i="5"/>
  <c r="BB115" i="5"/>
  <c r="BA172" i="5"/>
  <c r="BB172" i="5"/>
  <c r="BB159" i="5"/>
  <c r="BA159" i="5"/>
  <c r="BA116" i="5"/>
  <c r="BB116" i="5"/>
  <c r="BB169" i="5"/>
  <c r="BA169" i="5"/>
  <c r="BA132" i="5"/>
  <c r="BB132" i="5"/>
  <c r="BB145" i="5"/>
  <c r="BA145" i="5"/>
  <c r="BA127" i="5"/>
  <c r="BB127" i="5"/>
  <c r="BA107" i="5"/>
  <c r="BB107" i="5"/>
  <c r="BB147" i="5"/>
  <c r="BA147" i="5"/>
  <c r="BB133" i="5"/>
  <c r="BA133" i="5"/>
  <c r="BA123" i="5"/>
  <c r="BB123" i="5"/>
  <c r="BA111" i="5"/>
  <c r="BB111" i="5"/>
  <c r="BA81" i="5"/>
  <c r="BB81" i="5"/>
  <c r="BB131" i="5"/>
  <c r="BA131" i="5"/>
  <c r="BA110" i="5"/>
  <c r="BB110" i="5"/>
  <c r="BA103" i="5"/>
  <c r="BB103" i="5"/>
  <c r="BA105" i="5"/>
  <c r="BB105" i="5"/>
  <c r="BB97" i="5"/>
  <c r="BA97" i="5"/>
  <c r="BB91" i="5"/>
  <c r="BA91" i="5"/>
  <c r="BA83" i="5"/>
  <c r="BB83" i="5"/>
  <c r="BB80" i="5"/>
  <c r="BA80" i="5"/>
  <c r="BA65" i="5"/>
  <c r="BB65" i="5"/>
  <c r="BA23" i="5"/>
  <c r="BB23" i="5"/>
  <c r="BA53" i="5"/>
  <c r="BB53" i="5"/>
  <c r="BB70" i="5"/>
  <c r="BA70" i="5"/>
  <c r="BB61" i="5"/>
  <c r="BA61" i="5"/>
  <c r="BA24" i="5"/>
  <c r="BB24" i="5"/>
  <c r="BA39" i="5"/>
  <c r="BB39" i="5"/>
  <c r="BB68" i="5"/>
  <c r="BA68" i="5"/>
  <c r="BB56" i="5"/>
  <c r="BA56" i="5"/>
  <c r="BB50" i="5"/>
  <c r="BA50" i="5"/>
  <c r="BB38" i="5"/>
  <c r="BA38" i="5"/>
  <c r="BA43" i="5"/>
  <c r="BB43" i="5"/>
  <c r="BB26" i="5"/>
  <c r="BA26" i="5"/>
  <c r="BB40" i="5"/>
  <c r="BA40" i="5"/>
  <c r="BC528" i="5"/>
  <c r="AX531" i="5"/>
  <c r="AY531" i="5"/>
  <c r="AY560" i="5"/>
  <c r="AX560" i="5"/>
  <c r="AY559" i="5"/>
  <c r="AX559" i="5"/>
  <c r="AY261" i="5"/>
  <c r="AX261" i="5"/>
  <c r="AX491" i="5"/>
  <c r="AY491" i="5"/>
  <c r="AY424" i="5"/>
  <c r="AX424" i="5"/>
  <c r="AY266" i="5"/>
  <c r="AX266" i="5"/>
  <c r="AX481" i="5"/>
  <c r="AY481" i="5"/>
  <c r="AX373" i="5"/>
  <c r="AY373" i="5"/>
  <c r="AX495" i="5"/>
  <c r="AY495" i="5"/>
  <c r="AX430" i="5"/>
  <c r="AY430" i="5"/>
  <c r="AX397" i="5"/>
  <c r="AY397" i="5"/>
  <c r="AX400" i="5"/>
  <c r="AY400" i="5"/>
  <c r="AY318" i="5"/>
  <c r="AX318" i="5"/>
  <c r="AY408" i="5"/>
  <c r="AX408" i="5"/>
  <c r="AX350" i="5"/>
  <c r="AY350" i="5"/>
  <c r="AX355" i="5"/>
  <c r="AY355" i="5"/>
  <c r="AX289" i="5"/>
  <c r="AY289" i="5"/>
  <c r="AX332" i="5"/>
  <c r="AY332" i="5"/>
  <c r="AY287" i="5"/>
  <c r="AX287" i="5"/>
  <c r="AX331" i="5"/>
  <c r="AY331" i="5"/>
  <c r="AX284" i="5"/>
  <c r="AY284" i="5"/>
  <c r="AX229" i="5"/>
  <c r="AY229" i="5"/>
  <c r="AX175" i="5"/>
  <c r="AY175" i="5"/>
  <c r="AY244" i="5"/>
  <c r="AX244" i="5"/>
  <c r="AX162" i="5"/>
  <c r="AY162" i="5"/>
  <c r="AX137" i="5"/>
  <c r="AY137" i="5"/>
  <c r="AY168" i="5"/>
  <c r="AX168" i="5"/>
  <c r="AX123" i="5"/>
  <c r="AY123" i="5"/>
  <c r="AX145" i="5"/>
  <c r="AY145" i="5"/>
  <c r="AY146" i="5"/>
  <c r="AX146" i="5"/>
  <c r="AX98" i="5"/>
  <c r="AY98" i="5"/>
  <c r="AX93" i="5"/>
  <c r="AY93" i="5"/>
  <c r="AY76" i="5"/>
  <c r="AX76" i="5"/>
  <c r="AX66" i="5"/>
  <c r="AY66" i="5"/>
  <c r="AY24" i="5"/>
  <c r="AX24" i="5"/>
  <c r="AY37" i="5"/>
  <c r="AX37" i="5"/>
  <c r="AV544" i="5"/>
  <c r="BC544" i="5"/>
  <c r="AU544" i="5"/>
  <c r="AV454" i="5"/>
  <c r="AU454" i="5"/>
  <c r="BC454" i="5"/>
  <c r="AU536" i="5"/>
  <c r="BC536" i="5"/>
  <c r="AV536" i="5"/>
  <c r="BC444" i="5"/>
  <c r="AV444" i="5"/>
  <c r="AU444" i="5"/>
  <c r="AV492" i="5"/>
  <c r="BC492" i="5"/>
  <c r="AU492" i="5"/>
  <c r="AV525" i="5"/>
  <c r="AU525" i="5"/>
  <c r="BC525" i="5"/>
  <c r="AV483" i="5"/>
  <c r="BC483" i="5"/>
  <c r="AU483" i="5"/>
  <c r="AY545" i="5"/>
  <c r="AX545" i="5"/>
  <c r="AY557" i="5"/>
  <c r="AX557" i="5"/>
  <c r="AX478" i="5"/>
  <c r="AY478" i="5"/>
  <c r="AY554" i="5"/>
  <c r="AX554" i="5"/>
  <c r="AY539" i="5"/>
  <c r="AX539" i="5"/>
  <c r="AX522" i="5"/>
  <c r="AY522" i="5"/>
  <c r="AX369" i="5"/>
  <c r="AY369" i="5"/>
  <c r="AY549" i="5"/>
  <c r="AX549" i="5"/>
  <c r="AX452" i="5"/>
  <c r="AY452" i="5"/>
  <c r="AY285" i="5"/>
  <c r="AX285" i="5"/>
  <c r="AY552" i="5"/>
  <c r="AX552" i="5"/>
  <c r="AY540" i="5"/>
  <c r="AX540" i="5"/>
  <c r="AY533" i="5"/>
  <c r="AX533" i="5"/>
  <c r="AY501" i="5"/>
  <c r="AX501" i="5"/>
  <c r="AY485" i="5"/>
  <c r="AX485" i="5"/>
  <c r="AY460" i="5"/>
  <c r="AX460" i="5"/>
  <c r="AX445" i="5"/>
  <c r="AY445" i="5"/>
  <c r="AX433" i="5"/>
  <c r="AY433" i="5"/>
  <c r="AY421" i="5"/>
  <c r="AX421" i="5"/>
  <c r="AX402" i="5"/>
  <c r="AY402" i="5"/>
  <c r="AX339" i="5"/>
  <c r="AY339" i="5"/>
  <c r="AY520" i="5"/>
  <c r="AX520" i="5"/>
  <c r="AY509" i="5"/>
  <c r="AX509" i="5"/>
  <c r="AX499" i="5"/>
  <c r="AY499" i="5"/>
  <c r="AX488" i="5"/>
  <c r="AY488" i="5"/>
  <c r="AX469" i="5"/>
  <c r="AY469" i="5"/>
  <c r="AX454" i="5"/>
  <c r="AY454" i="5"/>
  <c r="AX443" i="5"/>
  <c r="AY443" i="5"/>
  <c r="AX431" i="5"/>
  <c r="AY431" i="5"/>
  <c r="AX361" i="5"/>
  <c r="AY361" i="5"/>
  <c r="AX519" i="5"/>
  <c r="AY519" i="5"/>
  <c r="AX505" i="5"/>
  <c r="AY505" i="5"/>
  <c r="AX484" i="5"/>
  <c r="AY484" i="5"/>
  <c r="AX477" i="5"/>
  <c r="AY477" i="5"/>
  <c r="AX465" i="5"/>
  <c r="AY465" i="5"/>
  <c r="AX444" i="5"/>
  <c r="AY444" i="5"/>
  <c r="AY428" i="5"/>
  <c r="AX428" i="5"/>
  <c r="AY410" i="5"/>
  <c r="AX410" i="5"/>
  <c r="AY403" i="5"/>
  <c r="AX403" i="5"/>
  <c r="AX391" i="5"/>
  <c r="AY391" i="5"/>
  <c r="AY381" i="5"/>
  <c r="AX381" i="5"/>
  <c r="AX362" i="5"/>
  <c r="AY362" i="5"/>
  <c r="AY300" i="5"/>
  <c r="AX300" i="5"/>
  <c r="AX415" i="5"/>
  <c r="AY415" i="5"/>
  <c r="AX395" i="5"/>
  <c r="AY395" i="5"/>
  <c r="AX374" i="5"/>
  <c r="AY374" i="5"/>
  <c r="AX354" i="5"/>
  <c r="AY354" i="5"/>
  <c r="AY341" i="5"/>
  <c r="AX341" i="5"/>
  <c r="AX271" i="5"/>
  <c r="AY271" i="5"/>
  <c r="AX427" i="5"/>
  <c r="AY427" i="5"/>
  <c r="AY413" i="5"/>
  <c r="AX413" i="5"/>
  <c r="AX392" i="5"/>
  <c r="AY392" i="5"/>
  <c r="AX380" i="5"/>
  <c r="AY380" i="5"/>
  <c r="AX370" i="5"/>
  <c r="AY370" i="5"/>
  <c r="AY357" i="5"/>
  <c r="AX357" i="5"/>
  <c r="AX345" i="5"/>
  <c r="AY345" i="5"/>
  <c r="AX313" i="5"/>
  <c r="AY313" i="5"/>
  <c r="AX246" i="5"/>
  <c r="AY246" i="5"/>
  <c r="AX347" i="5"/>
  <c r="AY347" i="5"/>
  <c r="AY328" i="5"/>
  <c r="AX328" i="5"/>
  <c r="AY311" i="5"/>
  <c r="AX311" i="5"/>
  <c r="AY297" i="5"/>
  <c r="AX297" i="5"/>
  <c r="AY282" i="5"/>
  <c r="AX282" i="5"/>
  <c r="AX270" i="5"/>
  <c r="AY270" i="5"/>
  <c r="AY252" i="5"/>
  <c r="AX252" i="5"/>
  <c r="AY213" i="5"/>
  <c r="AX213" i="5"/>
  <c r="AX322" i="5"/>
  <c r="AY322" i="5"/>
  <c r="AY312" i="5"/>
  <c r="AX312" i="5"/>
  <c r="AY295" i="5"/>
  <c r="AX295" i="5"/>
  <c r="AX280" i="5"/>
  <c r="AY280" i="5"/>
  <c r="AX263" i="5"/>
  <c r="AY263" i="5"/>
  <c r="AY251" i="5"/>
  <c r="AX251" i="5"/>
  <c r="AX225" i="5"/>
  <c r="AY225" i="5"/>
  <c r="AX329" i="5"/>
  <c r="AY329" i="5"/>
  <c r="AY310" i="5"/>
  <c r="AX310" i="5"/>
  <c r="AY294" i="5"/>
  <c r="AX294" i="5"/>
  <c r="AX272" i="5"/>
  <c r="AY272" i="5"/>
  <c r="AX253" i="5"/>
  <c r="AY253" i="5"/>
  <c r="AX233" i="5"/>
  <c r="AY233" i="5"/>
  <c r="BC241" i="5"/>
  <c r="AX241" i="5"/>
  <c r="AY241" i="5"/>
  <c r="AX224" i="5"/>
  <c r="AY224" i="5"/>
  <c r="AX216" i="5"/>
  <c r="AY216" i="5"/>
  <c r="AX198" i="5"/>
  <c r="AY198" i="5"/>
  <c r="AX187" i="5"/>
  <c r="AY187" i="5"/>
  <c r="AX169" i="5"/>
  <c r="AY169" i="5"/>
  <c r="AX231" i="5"/>
  <c r="AY231" i="5"/>
  <c r="AY197" i="5"/>
  <c r="AX197" i="5"/>
  <c r="AX240" i="5"/>
  <c r="AY240" i="5"/>
  <c r="AX226" i="5"/>
  <c r="AY226" i="5"/>
  <c r="AX214" i="5"/>
  <c r="AY214" i="5"/>
  <c r="AY195" i="5"/>
  <c r="AX195" i="5"/>
  <c r="AY148" i="5"/>
  <c r="AX148" i="5"/>
  <c r="AY205" i="5"/>
  <c r="AX205" i="5"/>
  <c r="AY188" i="5"/>
  <c r="AX188" i="5"/>
  <c r="AY170" i="5"/>
  <c r="AX170" i="5"/>
  <c r="AX183" i="5"/>
  <c r="AY183" i="5"/>
  <c r="AY156" i="5"/>
  <c r="AX156" i="5"/>
  <c r="AY176" i="5"/>
  <c r="AX176" i="5"/>
  <c r="AY164" i="5"/>
  <c r="AX164" i="5"/>
  <c r="AX155" i="5"/>
  <c r="AY155" i="5"/>
  <c r="AX147" i="5"/>
  <c r="AY147" i="5"/>
  <c r="AX131" i="5"/>
  <c r="AY131" i="5"/>
  <c r="AX114" i="5"/>
  <c r="AY114" i="5"/>
  <c r="AX102" i="5"/>
  <c r="AY102" i="5"/>
  <c r="AX157" i="5"/>
  <c r="AY157" i="5"/>
  <c r="AY141" i="5"/>
  <c r="AX141" i="5"/>
  <c r="BC130" i="5"/>
  <c r="AY130" i="5"/>
  <c r="AX130" i="5"/>
  <c r="AX115" i="5"/>
  <c r="AY115" i="5"/>
  <c r="AY152" i="5"/>
  <c r="AX152" i="5"/>
  <c r="AX135" i="5"/>
  <c r="AY135" i="5"/>
  <c r="AX120" i="5"/>
  <c r="AY120" i="5"/>
  <c r="AX111" i="5"/>
  <c r="AY111" i="5"/>
  <c r="AX107" i="5"/>
  <c r="AY107" i="5"/>
  <c r="AY95" i="5"/>
  <c r="AX95" i="5"/>
  <c r="AX84" i="5"/>
  <c r="AY84" i="5"/>
  <c r="AX99" i="5"/>
  <c r="AY99" i="5"/>
  <c r="AX81" i="5"/>
  <c r="AY81" i="5"/>
  <c r="AX70" i="5"/>
  <c r="AY70" i="5"/>
  <c r="AX83" i="5"/>
  <c r="AY83" i="5"/>
  <c r="AX58" i="5"/>
  <c r="AY58" i="5"/>
  <c r="AX40" i="5"/>
  <c r="AY40" i="5"/>
  <c r="AY65" i="5"/>
  <c r="AX65" i="5"/>
  <c r="AX54" i="5"/>
  <c r="AY54" i="5"/>
  <c r="AY36" i="5"/>
  <c r="AX36" i="5"/>
  <c r="AX59" i="5"/>
  <c r="AY59" i="5"/>
  <c r="AX34" i="5"/>
  <c r="AY34" i="5"/>
  <c r="AX45" i="5"/>
  <c r="AY45" i="5"/>
  <c r="AY32" i="5"/>
  <c r="AX32" i="5"/>
  <c r="AX46" i="5"/>
  <c r="AY46" i="5"/>
  <c r="AX33" i="5"/>
  <c r="AY33" i="5"/>
  <c r="AX48" i="5"/>
  <c r="AY48" i="5"/>
  <c r="AX26" i="5"/>
  <c r="AY26" i="5"/>
  <c r="T28" i="5"/>
  <c r="T29" i="5"/>
  <c r="T38" i="5"/>
  <c r="T44" i="5"/>
  <c r="T46" i="5"/>
  <c r="T21" i="5"/>
  <c r="T24" i="5"/>
  <c r="T26" i="5"/>
  <c r="T27" i="5"/>
  <c r="T31" i="5"/>
  <c r="T32" i="5"/>
  <c r="T39" i="5"/>
  <c r="T42" i="5"/>
  <c r="T45" i="5"/>
  <c r="T22" i="5"/>
  <c r="T34" i="5"/>
  <c r="T36" i="5"/>
  <c r="T40" i="5"/>
  <c r="T43" i="5"/>
  <c r="T47" i="5"/>
  <c r="T48" i="5"/>
  <c r="T49" i="5"/>
  <c r="T41" i="5"/>
  <c r="T52" i="5"/>
  <c r="T53" i="5"/>
  <c r="T54" i="5"/>
  <c r="T64" i="5"/>
  <c r="T70" i="5"/>
  <c r="T20" i="5"/>
  <c r="T23" i="5"/>
  <c r="T30" i="5"/>
  <c r="T33" i="5"/>
  <c r="T50" i="5"/>
  <c r="T51" i="5"/>
  <c r="T56" i="5"/>
  <c r="T59" i="5"/>
  <c r="T62" i="5"/>
  <c r="T65" i="5"/>
  <c r="T67" i="5"/>
  <c r="T35" i="5"/>
  <c r="T55" i="5"/>
  <c r="T58" i="5"/>
  <c r="T63" i="5"/>
  <c r="T66" i="5"/>
  <c r="T68" i="5"/>
  <c r="T71" i="5"/>
  <c r="T76" i="5"/>
  <c r="T80" i="5"/>
  <c r="T74" i="5"/>
  <c r="T77" i="5"/>
  <c r="T57" i="5"/>
  <c r="T61" i="5"/>
  <c r="T73" i="5"/>
  <c r="T78" i="5"/>
  <c r="T89" i="5"/>
  <c r="T92" i="5"/>
  <c r="T25" i="5"/>
  <c r="T81" i="5"/>
  <c r="T82" i="5"/>
  <c r="T94" i="5"/>
  <c r="T96" i="5"/>
  <c r="T97" i="5"/>
  <c r="T98" i="5"/>
  <c r="T69" i="5"/>
  <c r="T95" i="5"/>
  <c r="T102" i="5"/>
  <c r="T105" i="5"/>
  <c r="T107" i="5"/>
  <c r="T60" i="5"/>
  <c r="T72" i="5"/>
  <c r="T83" i="5"/>
  <c r="T85" i="5"/>
  <c r="T88" i="5"/>
  <c r="T90" i="5"/>
  <c r="T91" i="5"/>
  <c r="T101" i="5"/>
  <c r="T108" i="5"/>
  <c r="T110" i="5"/>
  <c r="T37" i="5"/>
  <c r="T87" i="5"/>
  <c r="T93" i="5"/>
  <c r="T113" i="5"/>
  <c r="T121" i="5"/>
  <c r="T126" i="5"/>
  <c r="T127" i="5"/>
  <c r="T132" i="5"/>
  <c r="T136" i="5"/>
  <c r="T139" i="5"/>
  <c r="T141" i="5"/>
  <c r="T147" i="5"/>
  <c r="T155" i="5"/>
  <c r="T84" i="5"/>
  <c r="T99" i="5"/>
  <c r="T103" i="5"/>
  <c r="T106" i="5"/>
  <c r="T109" i="5"/>
  <c r="T112" i="5"/>
  <c r="T116" i="5"/>
  <c r="T117" i="5"/>
  <c r="T123" i="5"/>
  <c r="T124" i="5"/>
  <c r="T129" i="5"/>
  <c r="T131" i="5"/>
  <c r="T137" i="5"/>
  <c r="T142" i="5"/>
  <c r="T148" i="5"/>
  <c r="T151" i="5"/>
  <c r="T156" i="5"/>
  <c r="T75" i="5"/>
  <c r="T104" i="5"/>
  <c r="T114" i="5"/>
  <c r="T115" i="5"/>
  <c r="T119" i="5"/>
  <c r="T122" i="5"/>
  <c r="T130" i="5"/>
  <c r="T138" i="5"/>
  <c r="T143" i="5"/>
  <c r="T145" i="5"/>
  <c r="T146" i="5"/>
  <c r="T152" i="5"/>
  <c r="T125" i="5"/>
  <c r="T128" i="5"/>
  <c r="T134" i="5"/>
  <c r="T149" i="5"/>
  <c r="T165" i="5"/>
  <c r="T167" i="5"/>
  <c r="T171" i="5"/>
  <c r="T173" i="5"/>
  <c r="T177" i="5"/>
  <c r="T178" i="5"/>
  <c r="T181" i="5"/>
  <c r="T187" i="5"/>
  <c r="T86" i="5"/>
  <c r="T111" i="5"/>
  <c r="T118" i="5"/>
  <c r="T133" i="5"/>
  <c r="T140" i="5"/>
  <c r="T163" i="5"/>
  <c r="T169" i="5"/>
  <c r="T170" i="5"/>
  <c r="T182" i="5"/>
  <c r="T184" i="5"/>
  <c r="T79" i="5"/>
  <c r="T100" i="5"/>
  <c r="T154" i="5"/>
  <c r="T158" i="5"/>
  <c r="T161" i="5"/>
  <c r="T172" i="5"/>
  <c r="T175" i="5"/>
  <c r="T179" i="5"/>
  <c r="T183" i="5"/>
  <c r="T185" i="5"/>
  <c r="T186" i="5"/>
  <c r="T189" i="5"/>
  <c r="T190" i="5"/>
  <c r="T194" i="5"/>
  <c r="T197" i="5"/>
  <c r="T198" i="5"/>
  <c r="T201" i="5"/>
  <c r="T204" i="5"/>
  <c r="T206" i="5"/>
  <c r="T164" i="5"/>
  <c r="T188" i="5"/>
  <c r="T196" i="5"/>
  <c r="T200" i="5"/>
  <c r="T202" i="5"/>
  <c r="T203" i="5"/>
  <c r="T205" i="5"/>
  <c r="T208" i="5"/>
  <c r="T209" i="5"/>
  <c r="T211" i="5"/>
  <c r="T215" i="5"/>
  <c r="T218" i="5"/>
  <c r="T220" i="5"/>
  <c r="T223" i="5"/>
  <c r="T224" i="5"/>
  <c r="T227" i="5"/>
  <c r="T234" i="5"/>
  <c r="T239" i="5"/>
  <c r="T245" i="5"/>
  <c r="T120" i="5"/>
  <c r="T144" i="5"/>
  <c r="T150" i="5"/>
  <c r="T159" i="5"/>
  <c r="T166" i="5"/>
  <c r="T193" i="5"/>
  <c r="T199" i="5"/>
  <c r="T212" i="5"/>
  <c r="T216" i="5"/>
  <c r="T217" i="5"/>
  <c r="T222" i="5"/>
  <c r="T229" i="5"/>
  <c r="T232" i="5"/>
  <c r="T238" i="5"/>
  <c r="T242" i="5"/>
  <c r="T243" i="5"/>
  <c r="T157" i="5"/>
  <c r="T168" i="5"/>
  <c r="T174" i="5"/>
  <c r="T180" i="5"/>
  <c r="T191" i="5"/>
  <c r="T192" i="5"/>
  <c r="T207" i="5"/>
  <c r="T210" i="5"/>
  <c r="T213" i="5"/>
  <c r="T219" i="5"/>
  <c r="T221" i="5"/>
  <c r="T225" i="5"/>
  <c r="T230" i="5"/>
  <c r="T233" i="5"/>
  <c r="T235" i="5"/>
  <c r="T236" i="5"/>
  <c r="T240" i="5"/>
  <c r="T153" i="5"/>
  <c r="T176" i="5"/>
  <c r="T241" i="5"/>
  <c r="T248" i="5"/>
  <c r="T249" i="5"/>
  <c r="T252" i="5"/>
  <c r="T254" i="5"/>
  <c r="T255" i="5"/>
  <c r="T257" i="5"/>
  <c r="T260" i="5"/>
  <c r="T263" i="5"/>
  <c r="T265" i="5"/>
  <c r="T270" i="5"/>
  <c r="T273" i="5"/>
  <c r="T274" i="5"/>
  <c r="T277" i="5"/>
  <c r="T278" i="5"/>
  <c r="T279" i="5"/>
  <c r="T282" i="5"/>
  <c r="T289" i="5"/>
  <c r="T295" i="5"/>
  <c r="T301" i="5"/>
  <c r="T306" i="5"/>
  <c r="T308" i="5"/>
  <c r="T314" i="5"/>
  <c r="T318" i="5"/>
  <c r="T322" i="5"/>
  <c r="T327" i="5"/>
  <c r="T332" i="5"/>
  <c r="T334" i="5"/>
  <c r="T135" i="5"/>
  <c r="T237" i="5"/>
  <c r="T244" i="5"/>
  <c r="T250" i="5"/>
  <c r="T251" i="5"/>
  <c r="T258" i="5"/>
  <c r="T266" i="5"/>
  <c r="T276" i="5"/>
  <c r="T284" i="5"/>
  <c r="T288" i="5"/>
  <c r="T291" i="5"/>
  <c r="T292" i="5"/>
  <c r="T299" i="5"/>
  <c r="T302" i="5"/>
  <c r="T311" i="5"/>
  <c r="T313" i="5"/>
  <c r="T316" i="5"/>
  <c r="T323" i="5"/>
  <c r="T325" i="5"/>
  <c r="T328" i="5"/>
  <c r="T331" i="5"/>
  <c r="T160" i="5"/>
  <c r="T226" i="5"/>
  <c r="T231" i="5"/>
  <c r="T246" i="5"/>
  <c r="T253" i="5"/>
  <c r="T256" i="5"/>
  <c r="T259" i="5"/>
  <c r="T261" i="5"/>
  <c r="T264" i="5"/>
  <c r="T268" i="5"/>
  <c r="T269" i="5"/>
  <c r="T271" i="5"/>
  <c r="T281" i="5"/>
  <c r="T285" i="5"/>
  <c r="T290" i="5"/>
  <c r="T293" i="5"/>
  <c r="T296" i="5"/>
  <c r="T298" i="5"/>
  <c r="T300" i="5"/>
  <c r="T303" i="5"/>
  <c r="T305" i="5"/>
  <c r="T307" i="5"/>
  <c r="T310" i="5"/>
  <c r="T320" i="5"/>
  <c r="T321" i="5"/>
  <c r="T326" i="5"/>
  <c r="T330" i="5"/>
  <c r="T335" i="5"/>
  <c r="T343" i="5"/>
  <c r="T349" i="5"/>
  <c r="T354" i="5"/>
  <c r="T356" i="5"/>
  <c r="T262" i="5"/>
  <c r="T267" i="5"/>
  <c r="T280" i="5"/>
  <c r="T283" i="5"/>
  <c r="T286" i="5"/>
  <c r="T309" i="5"/>
  <c r="T312" i="5"/>
  <c r="T315" i="5"/>
  <c r="T329" i="5"/>
  <c r="T337" i="5"/>
  <c r="T342" i="5"/>
  <c r="T345" i="5"/>
  <c r="T350" i="5"/>
  <c r="T359" i="5"/>
  <c r="T362" i="5"/>
  <c r="T364" i="5"/>
  <c r="T366" i="5"/>
  <c r="T367" i="5"/>
  <c r="T378" i="5"/>
  <c r="T381" i="5"/>
  <c r="T387" i="5"/>
  <c r="T390" i="5"/>
  <c r="T393" i="5"/>
  <c r="T400" i="5"/>
  <c r="T403" i="5"/>
  <c r="T405" i="5"/>
  <c r="T410" i="5"/>
  <c r="T415" i="5"/>
  <c r="T420" i="5"/>
  <c r="T421" i="5"/>
  <c r="T424" i="5"/>
  <c r="T429" i="5"/>
  <c r="T433" i="5"/>
  <c r="T436" i="5"/>
  <c r="T437" i="5"/>
  <c r="T214" i="5"/>
  <c r="T247" i="5"/>
  <c r="T297" i="5"/>
  <c r="T317" i="5"/>
  <c r="T341" i="5"/>
  <c r="T369" i="5"/>
  <c r="T371" i="5"/>
  <c r="T372" i="5"/>
  <c r="T375" i="5"/>
  <c r="T376" i="5"/>
  <c r="T380" i="5"/>
  <c r="T385" i="5"/>
  <c r="T386" i="5"/>
  <c r="T389" i="5"/>
  <c r="T391" i="5"/>
  <c r="T396" i="5"/>
  <c r="T407" i="5"/>
  <c r="T409" i="5"/>
  <c r="T418" i="5"/>
  <c r="T162" i="5"/>
  <c r="T195" i="5"/>
  <c r="T228" i="5"/>
  <c r="T272" i="5"/>
  <c r="T275" i="5"/>
  <c r="T294" i="5"/>
  <c r="T319" i="5"/>
  <c r="T336" i="5"/>
  <c r="T340" i="5"/>
  <c r="T348" i="5"/>
  <c r="T353" i="5"/>
  <c r="T355" i="5"/>
  <c r="T361" i="5"/>
  <c r="T363" i="5"/>
  <c r="T365" i="5"/>
  <c r="T373" i="5"/>
  <c r="T379" i="5"/>
  <c r="T382" i="5"/>
  <c r="T383" i="5"/>
  <c r="T388" i="5"/>
  <c r="T392" i="5"/>
  <c r="T399" i="5"/>
  <c r="T402" i="5"/>
  <c r="T404" i="5"/>
  <c r="T408" i="5"/>
  <c r="T411" i="5"/>
  <c r="T414" i="5"/>
  <c r="T417" i="5"/>
  <c r="T287" i="5"/>
  <c r="T324" i="5"/>
  <c r="T357" i="5"/>
  <c r="T370" i="5"/>
  <c r="T384" i="5"/>
  <c r="T428" i="5"/>
  <c r="T430" i="5"/>
  <c r="T432" i="5"/>
  <c r="T441" i="5"/>
  <c r="T443" i="5"/>
  <c r="T447" i="5"/>
  <c r="T448" i="5"/>
  <c r="T451" i="5"/>
  <c r="T458" i="5"/>
  <c r="T460" i="5"/>
  <c r="T466" i="5"/>
  <c r="T472" i="5"/>
  <c r="T478" i="5"/>
  <c r="T481" i="5"/>
  <c r="T491" i="5"/>
  <c r="T494" i="5"/>
  <c r="T499" i="5"/>
  <c r="T505" i="5"/>
  <c r="T507" i="5"/>
  <c r="T508" i="5"/>
  <c r="T513" i="5"/>
  <c r="T515" i="5"/>
  <c r="T516" i="5"/>
  <c r="T525" i="5"/>
  <c r="T532" i="5"/>
  <c r="T533" i="5"/>
  <c r="T537" i="5"/>
  <c r="T339" i="5"/>
  <c r="T347" i="5"/>
  <c r="T351" i="5"/>
  <c r="T427" i="5"/>
  <c r="T431" i="5"/>
  <c r="T438" i="5"/>
  <c r="T442" i="5"/>
  <c r="T453" i="5"/>
  <c r="T454" i="5"/>
  <c r="T456" i="5"/>
  <c r="T459" i="5"/>
  <c r="T462" i="5"/>
  <c r="T464" i="5"/>
  <c r="T468" i="5"/>
  <c r="T471" i="5"/>
  <c r="T474" i="5"/>
  <c r="T475" i="5"/>
  <c r="T480" i="5"/>
  <c r="T483" i="5"/>
  <c r="T485" i="5"/>
  <c r="T496" i="5"/>
  <c r="T498" i="5"/>
  <c r="T500" i="5"/>
  <c r="T501" i="5"/>
  <c r="T503" i="5"/>
  <c r="T504" i="5"/>
  <c r="T511" i="5"/>
  <c r="T512" i="5"/>
  <c r="T517" i="5"/>
  <c r="T519" i="5"/>
  <c r="T521" i="5"/>
  <c r="T522" i="5"/>
  <c r="T333" i="5"/>
  <c r="T358" i="5"/>
  <c r="T360" i="5"/>
  <c r="T368" i="5"/>
  <c r="T374" i="5"/>
  <c r="T377" i="5"/>
  <c r="T395" i="5"/>
  <c r="T398" i="5"/>
  <c r="T401" i="5"/>
  <c r="T413" i="5"/>
  <c r="T416" i="5"/>
  <c r="T422" i="5"/>
  <c r="T425" i="5"/>
  <c r="T434" i="5"/>
  <c r="T435" i="5"/>
  <c r="T439" i="5"/>
  <c r="T446" i="5"/>
  <c r="T452" i="5"/>
  <c r="T455" i="5"/>
  <c r="T457" i="5"/>
  <c r="T461" i="5"/>
  <c r="T463" i="5"/>
  <c r="T467" i="5"/>
  <c r="T470" i="5"/>
  <c r="T473" i="5"/>
  <c r="T477" i="5"/>
  <c r="T482" i="5"/>
  <c r="T486" i="5"/>
  <c r="T487" i="5"/>
  <c r="T489" i="5"/>
  <c r="T492" i="5"/>
  <c r="T493" i="5"/>
  <c r="T495" i="5"/>
  <c r="T506" i="5"/>
  <c r="T510" i="5"/>
  <c r="T526" i="5"/>
  <c r="T531" i="5"/>
  <c r="T538" i="5"/>
  <c r="T556" i="5"/>
  <c r="T557" i="5"/>
  <c r="T560" i="5"/>
  <c r="T304" i="5"/>
  <c r="T338" i="5"/>
  <c r="T344" i="5"/>
  <c r="T346" i="5"/>
  <c r="T352" i="5"/>
  <c r="T444" i="5"/>
  <c r="T465" i="5"/>
  <c r="T484" i="5"/>
  <c r="T529" i="5"/>
  <c r="T534" i="5"/>
  <c r="T536" i="5"/>
  <c r="T539" i="5"/>
  <c r="T540" i="5"/>
  <c r="T542" i="5"/>
  <c r="T545" i="5"/>
  <c r="T546" i="5"/>
  <c r="T548" i="5"/>
  <c r="T550" i="5"/>
  <c r="T554" i="5"/>
  <c r="T541" i="5"/>
  <c r="T544" i="5"/>
  <c r="T394" i="5"/>
  <c r="T406" i="5"/>
  <c r="T412" i="5"/>
  <c r="T426" i="5"/>
  <c r="T450" i="5"/>
  <c r="T490" i="5"/>
  <c r="T497" i="5"/>
  <c r="T514" i="5"/>
  <c r="T518" i="5"/>
  <c r="T524" i="5"/>
  <c r="T527" i="5"/>
  <c r="T543" i="5"/>
  <c r="T551" i="5"/>
  <c r="T552" i="5"/>
  <c r="T553" i="5"/>
  <c r="T555" i="5"/>
  <c r="T419" i="5"/>
  <c r="T440" i="5"/>
  <c r="T449" i="5"/>
  <c r="T528" i="5"/>
  <c r="T530" i="5"/>
  <c r="T535" i="5"/>
  <c r="T547" i="5"/>
  <c r="T549" i="5"/>
  <c r="T558" i="5"/>
  <c r="T559" i="5"/>
  <c r="T397" i="5"/>
  <c r="T423" i="5"/>
  <c r="T445" i="5"/>
  <c r="T469" i="5"/>
  <c r="T476" i="5"/>
  <c r="T479" i="5"/>
  <c r="T488" i="5"/>
  <c r="T502" i="5"/>
  <c r="T509" i="5"/>
  <c r="T520" i="5"/>
  <c r="T523" i="5"/>
  <c r="T19" i="5"/>
  <c r="BC486" i="5"/>
  <c r="AV534" i="5"/>
  <c r="BC534" i="5"/>
  <c r="AU534" i="5"/>
  <c r="AV500" i="5"/>
  <c r="AU500" i="5"/>
  <c r="BC500" i="5"/>
  <c r="BC440" i="5"/>
  <c r="AV440" i="5"/>
  <c r="AU440" i="5"/>
  <c r="AV537" i="5"/>
  <c r="AU537" i="5"/>
  <c r="BC537" i="5"/>
  <c r="AU467" i="5"/>
  <c r="BC467" i="5"/>
  <c r="AV467" i="5"/>
  <c r="AU430" i="5"/>
  <c r="BC430" i="5"/>
  <c r="AV430" i="5"/>
  <c r="AV395" i="5"/>
  <c r="AU395" i="5"/>
  <c r="BC395" i="5"/>
  <c r="AV358" i="5"/>
  <c r="AU358" i="5"/>
  <c r="BC358" i="5"/>
  <c r="AU555" i="5"/>
  <c r="BC555" i="5"/>
  <c r="AV555" i="5"/>
  <c r="AV526" i="5"/>
  <c r="BC526" i="5"/>
  <c r="AU526" i="5"/>
  <c r="AV465" i="5"/>
  <c r="AU465" i="5"/>
  <c r="BC465" i="5"/>
  <c r="AU554" i="5"/>
  <c r="BC554" i="5"/>
  <c r="AV554" i="5"/>
  <c r="BC539" i="5"/>
  <c r="AV539" i="5"/>
  <c r="AU539" i="5"/>
  <c r="AV509" i="5"/>
  <c r="AU509" i="5"/>
  <c r="BC509" i="5"/>
  <c r="AV479" i="5"/>
  <c r="AU479" i="5"/>
  <c r="BC479" i="5"/>
  <c r="BC416" i="5"/>
  <c r="AV416" i="5"/>
  <c r="AU416" i="5"/>
  <c r="AU559" i="5"/>
  <c r="BC559" i="5"/>
  <c r="AV559" i="5"/>
  <c r="AU550" i="5"/>
  <c r="BC550" i="5"/>
  <c r="AV550" i="5"/>
  <c r="AU543" i="5"/>
  <c r="BC543" i="5"/>
  <c r="AV543" i="5"/>
  <c r="BC514" i="5"/>
  <c r="AV514" i="5"/>
  <c r="AU514" i="5"/>
  <c r="AV504" i="5"/>
  <c r="BC504" i="5"/>
  <c r="AU504" i="5"/>
  <c r="AV478" i="5"/>
  <c r="BC478" i="5"/>
  <c r="AU478" i="5"/>
  <c r="AV468" i="5"/>
  <c r="BC468" i="5"/>
  <c r="AU468" i="5"/>
  <c r="AV453" i="5"/>
  <c r="AU453" i="5"/>
  <c r="BC453" i="5"/>
  <c r="BC399" i="5"/>
  <c r="AV399" i="5"/>
  <c r="AU399" i="5"/>
  <c r="AV272" i="5"/>
  <c r="AU272" i="5"/>
  <c r="BC272" i="5"/>
  <c r="AV501" i="5"/>
  <c r="AU501" i="5"/>
  <c r="BC501" i="5"/>
  <c r="AV490" i="5"/>
  <c r="BC490" i="5"/>
  <c r="AU490" i="5"/>
  <c r="AV472" i="5"/>
  <c r="AU472" i="5"/>
  <c r="BC472" i="5"/>
  <c r="AV456" i="5"/>
  <c r="AU456" i="5"/>
  <c r="BC456" i="5"/>
  <c r="AV435" i="5"/>
  <c r="BC435" i="5"/>
  <c r="AU435" i="5"/>
  <c r="AV408" i="5"/>
  <c r="AU408" i="5"/>
  <c r="BC408" i="5"/>
  <c r="AU331" i="5"/>
  <c r="BC331" i="5"/>
  <c r="AV331" i="5"/>
  <c r="AV518" i="5"/>
  <c r="BC518" i="5"/>
  <c r="AU518" i="5"/>
  <c r="AV502" i="5"/>
  <c r="BC502" i="5"/>
  <c r="AU502" i="5"/>
  <c r="AV489" i="5"/>
  <c r="BC489" i="5"/>
  <c r="AU489" i="5"/>
  <c r="AV469" i="5"/>
  <c r="AU469" i="5"/>
  <c r="BC469" i="5"/>
  <c r="AV445" i="5"/>
  <c r="AU445" i="5"/>
  <c r="BC445" i="5"/>
  <c r="AV427" i="5"/>
  <c r="BC427" i="5"/>
  <c r="AU427" i="5"/>
  <c r="AV371" i="5"/>
  <c r="AU371" i="5"/>
  <c r="BC371" i="5"/>
  <c r="AV334" i="5"/>
  <c r="AU334" i="5"/>
  <c r="BC334" i="5"/>
  <c r="AU168" i="5"/>
  <c r="AV168" i="5"/>
  <c r="BC168" i="5"/>
  <c r="AV411" i="5"/>
  <c r="BC411" i="5"/>
  <c r="AU411" i="5"/>
  <c r="AV385" i="5"/>
  <c r="BC385" i="5"/>
  <c r="AU385" i="5"/>
  <c r="AV369" i="5"/>
  <c r="AU369" i="5"/>
  <c r="BC369" i="5"/>
  <c r="AV352" i="5"/>
  <c r="AU352" i="5"/>
  <c r="BC352" i="5"/>
  <c r="BC317" i="5"/>
  <c r="AV317" i="5"/>
  <c r="AU317" i="5"/>
  <c r="AV407" i="5"/>
  <c r="BC407" i="5"/>
  <c r="AU407" i="5"/>
  <c r="AV391" i="5"/>
  <c r="AU391" i="5"/>
  <c r="BC391" i="5"/>
  <c r="AU376" i="5"/>
  <c r="BC376" i="5"/>
  <c r="AV376" i="5"/>
  <c r="AV362" i="5"/>
  <c r="AU362" i="5"/>
  <c r="BC362" i="5"/>
  <c r="BC329" i="5"/>
  <c r="AV329" i="5"/>
  <c r="AU329" i="5"/>
  <c r="AV268" i="5"/>
  <c r="AU268" i="5"/>
  <c r="BC268" i="5"/>
  <c r="AU180" i="5"/>
  <c r="AV180" i="5"/>
  <c r="BC180" i="5"/>
  <c r="AV429" i="5"/>
  <c r="AU429" i="5"/>
  <c r="BC429" i="5"/>
  <c r="AV415" i="5"/>
  <c r="BC415" i="5"/>
  <c r="AU415" i="5"/>
  <c r="AV400" i="5"/>
  <c r="BC400" i="5"/>
  <c r="AU400" i="5"/>
  <c r="AV388" i="5"/>
  <c r="BC388" i="5"/>
  <c r="AU388" i="5"/>
  <c r="AV366" i="5"/>
  <c r="AU366" i="5"/>
  <c r="BC366" i="5"/>
  <c r="BC310" i="5"/>
  <c r="AV310" i="5"/>
  <c r="AU310" i="5"/>
  <c r="AU174" i="5"/>
  <c r="AV174" i="5"/>
  <c r="BC174" i="5"/>
  <c r="BC349" i="5"/>
  <c r="AU349" i="5"/>
  <c r="AV349" i="5"/>
  <c r="AV342" i="5"/>
  <c r="AU342" i="5"/>
  <c r="BC342" i="5"/>
  <c r="AV323" i="5"/>
  <c r="AU323" i="5"/>
  <c r="BC323" i="5"/>
  <c r="AV303" i="5"/>
  <c r="AU303" i="5"/>
  <c r="BC303" i="5"/>
  <c r="AU288" i="5"/>
  <c r="BC288" i="5"/>
  <c r="AV288" i="5"/>
  <c r="AU269" i="5"/>
  <c r="AV269" i="5"/>
  <c r="BC269" i="5"/>
  <c r="AV253" i="5"/>
  <c r="AU253" i="5"/>
  <c r="BC253" i="5"/>
  <c r="AU196" i="5"/>
  <c r="AV196" i="5"/>
  <c r="BC196" i="5"/>
  <c r="AU325" i="5"/>
  <c r="AV325" i="5"/>
  <c r="BC325" i="5"/>
  <c r="AV308" i="5"/>
  <c r="AU308" i="5"/>
  <c r="BC308" i="5"/>
  <c r="BC292" i="5"/>
  <c r="AV292" i="5"/>
  <c r="AU292" i="5"/>
  <c r="AU279" i="5"/>
  <c r="AV279" i="5"/>
  <c r="AV266" i="5"/>
  <c r="AU266" i="5"/>
  <c r="BC266" i="5"/>
  <c r="AU241" i="5"/>
  <c r="AV241" i="5"/>
  <c r="BC203" i="5"/>
  <c r="AU203" i="5"/>
  <c r="AV203" i="5"/>
  <c r="AV320" i="5"/>
  <c r="AU320" i="5"/>
  <c r="BC320" i="5"/>
  <c r="AU309" i="5"/>
  <c r="BC309" i="5"/>
  <c r="AV309" i="5"/>
  <c r="AU293" i="5"/>
  <c r="BC293" i="5"/>
  <c r="AV293" i="5"/>
  <c r="AV277" i="5"/>
  <c r="AU277" i="5"/>
  <c r="BC277" i="5"/>
  <c r="AU263" i="5"/>
  <c r="BC263" i="5"/>
  <c r="AV263" i="5"/>
  <c r="AV254" i="5"/>
  <c r="AU254" i="5"/>
  <c r="BC254" i="5"/>
  <c r="AV228" i="5"/>
  <c r="AU228" i="5"/>
  <c r="BC228" i="5"/>
  <c r="AV236" i="5"/>
  <c r="AU236" i="5"/>
  <c r="BC236" i="5"/>
  <c r="AV225" i="5"/>
  <c r="AU225" i="5"/>
  <c r="BC225" i="5"/>
  <c r="AU213" i="5"/>
  <c r="BC213" i="5"/>
  <c r="AV213" i="5"/>
  <c r="AU188" i="5"/>
  <c r="AV188" i="5"/>
  <c r="BC188" i="5"/>
  <c r="AU242" i="5"/>
  <c r="AV242" i="5"/>
  <c r="BC242" i="5"/>
  <c r="AU220" i="5"/>
  <c r="AV220" i="5"/>
  <c r="BC220" i="5"/>
  <c r="AV207" i="5"/>
  <c r="AU207" i="5"/>
  <c r="BC207" i="5"/>
  <c r="AU247" i="5"/>
  <c r="AV247" i="5"/>
  <c r="BC247" i="5"/>
  <c r="AV227" i="5"/>
  <c r="AU227" i="5"/>
  <c r="BC227" i="5"/>
  <c r="AU208" i="5"/>
  <c r="AV208" i="5"/>
  <c r="BC208" i="5"/>
  <c r="AV206" i="5"/>
  <c r="AU206" i="5"/>
  <c r="BC206" i="5"/>
  <c r="AV197" i="5"/>
  <c r="AU197" i="5"/>
  <c r="BC197" i="5"/>
  <c r="AU186" i="5"/>
  <c r="AV186" i="5"/>
  <c r="BC186" i="5"/>
  <c r="AU167" i="5"/>
  <c r="AV167" i="5"/>
  <c r="BC167" i="5"/>
  <c r="AV155" i="5"/>
  <c r="AU155" i="5"/>
  <c r="BC155" i="5"/>
  <c r="AV95" i="5"/>
  <c r="AU95" i="5"/>
  <c r="BC95" i="5"/>
  <c r="AU170" i="5"/>
  <c r="AV170" i="5"/>
  <c r="BC170" i="5"/>
  <c r="AU161" i="5"/>
  <c r="AV161" i="5"/>
  <c r="BC161" i="5"/>
  <c r="AU125" i="5"/>
  <c r="AV125" i="5"/>
  <c r="BC125" i="5"/>
  <c r="AV179" i="5"/>
  <c r="AU179" i="5"/>
  <c r="BC179" i="5"/>
  <c r="AV171" i="5"/>
  <c r="AU171" i="5"/>
  <c r="BC171" i="5"/>
  <c r="AV147" i="5"/>
  <c r="AU147" i="5"/>
  <c r="BC147" i="5"/>
  <c r="AV123" i="5"/>
  <c r="AU123" i="5"/>
  <c r="BC123" i="5"/>
  <c r="AU152" i="5"/>
  <c r="AV152" i="5"/>
  <c r="BC152" i="5"/>
  <c r="AU137" i="5"/>
  <c r="AV137" i="5"/>
  <c r="BC137" i="5"/>
  <c r="AV120" i="5"/>
  <c r="AU120" i="5"/>
  <c r="BC120" i="5"/>
  <c r="AV106" i="5"/>
  <c r="AU106" i="5"/>
  <c r="BC106" i="5"/>
  <c r="AV151" i="5"/>
  <c r="AU151" i="5"/>
  <c r="BC151" i="5"/>
  <c r="AU124" i="5"/>
  <c r="AV124" i="5"/>
  <c r="BC124" i="5"/>
  <c r="AV145" i="5"/>
  <c r="BC145" i="5"/>
  <c r="AU145" i="5"/>
  <c r="AU132" i="5"/>
  <c r="BC132" i="5"/>
  <c r="AV132" i="5"/>
  <c r="AU114" i="5"/>
  <c r="AV114" i="5"/>
  <c r="BC114" i="5"/>
  <c r="AV108" i="5"/>
  <c r="AU108" i="5"/>
  <c r="BC108" i="5"/>
  <c r="AV85" i="5"/>
  <c r="AU85" i="5"/>
  <c r="BC85" i="5"/>
  <c r="AU107" i="5"/>
  <c r="AV107" i="5"/>
  <c r="BC107" i="5"/>
  <c r="AV98" i="5"/>
  <c r="AU98" i="5"/>
  <c r="BC98" i="5"/>
  <c r="AU74" i="5"/>
  <c r="AV74" i="5"/>
  <c r="BC74" i="5"/>
  <c r="AU86" i="5"/>
  <c r="BC86" i="5"/>
  <c r="AV86" i="5"/>
  <c r="AV76" i="5"/>
  <c r="BC76" i="5"/>
  <c r="AU76" i="5"/>
  <c r="AU73" i="5"/>
  <c r="AV73" i="5"/>
  <c r="BC73" i="5"/>
  <c r="AU80" i="5"/>
  <c r="BC80" i="5"/>
  <c r="AV80" i="5"/>
  <c r="AV59" i="5"/>
  <c r="AU59" i="5"/>
  <c r="BC59" i="5"/>
  <c r="AU68" i="5"/>
  <c r="AV68" i="5"/>
  <c r="BC68" i="5"/>
  <c r="AU60" i="5"/>
  <c r="AV60" i="5"/>
  <c r="BC60" i="5"/>
  <c r="AU61" i="5"/>
  <c r="AV61" i="5"/>
  <c r="BC61" i="5"/>
  <c r="AU50" i="5"/>
  <c r="AV50" i="5"/>
  <c r="BC50" i="5"/>
  <c r="AV49" i="5"/>
  <c r="AU49" i="5"/>
  <c r="BC49" i="5"/>
  <c r="AU40" i="5"/>
  <c r="AV40" i="5"/>
  <c r="BC40" i="5"/>
  <c r="BC27" i="5"/>
  <c r="AV27" i="5"/>
  <c r="AU27" i="5"/>
  <c r="AV32" i="5"/>
  <c r="BC32" i="5"/>
  <c r="AU32" i="5"/>
  <c r="AV46" i="5"/>
  <c r="BC46" i="5"/>
  <c r="AU46" i="5"/>
  <c r="AV33" i="5"/>
  <c r="AU33" i="5"/>
  <c r="BC33" i="5"/>
  <c r="BB483" i="5"/>
  <c r="BA483" i="5"/>
  <c r="BA372" i="5"/>
  <c r="BB372" i="5"/>
  <c r="BB542" i="5"/>
  <c r="BA542" i="5"/>
  <c r="BB528" i="5"/>
  <c r="BA528" i="5"/>
  <c r="BA424" i="5"/>
  <c r="BB424" i="5"/>
  <c r="BA549" i="5"/>
  <c r="BB549" i="5"/>
  <c r="BB524" i="5"/>
  <c r="BA524" i="5"/>
  <c r="BA433" i="5"/>
  <c r="BB433" i="5"/>
  <c r="BB553" i="5"/>
  <c r="BA553" i="5"/>
  <c r="BA534" i="5"/>
  <c r="BB534" i="5"/>
  <c r="BB517" i="5"/>
  <c r="BA517" i="5"/>
  <c r="BA449" i="5"/>
  <c r="BB449" i="5"/>
  <c r="BA297" i="5"/>
  <c r="BB297" i="5"/>
  <c r="BB554" i="5"/>
  <c r="BA554" i="5"/>
  <c r="BB523" i="5"/>
  <c r="BA523" i="5"/>
  <c r="BA510" i="5"/>
  <c r="BB510" i="5"/>
  <c r="BA503" i="5"/>
  <c r="BB503" i="5"/>
  <c r="BA495" i="5"/>
  <c r="BB495" i="5"/>
  <c r="BB489" i="5"/>
  <c r="BA489" i="5"/>
  <c r="BB482" i="5"/>
  <c r="BA482" i="5"/>
  <c r="BB469" i="5"/>
  <c r="BA469" i="5"/>
  <c r="BB454" i="5"/>
  <c r="BA454" i="5"/>
  <c r="BB443" i="5"/>
  <c r="BA443" i="5"/>
  <c r="BA430" i="5"/>
  <c r="BB430" i="5"/>
  <c r="BB381" i="5"/>
  <c r="BA381" i="5"/>
  <c r="BA519" i="5"/>
  <c r="BB519" i="5"/>
  <c r="BA511" i="5"/>
  <c r="BB511" i="5"/>
  <c r="BA484" i="5"/>
  <c r="BB484" i="5"/>
  <c r="BA470" i="5"/>
  <c r="BB470" i="5"/>
  <c r="BB462" i="5"/>
  <c r="BA462" i="5"/>
  <c r="BA439" i="5"/>
  <c r="BB439" i="5"/>
  <c r="BA412" i="5"/>
  <c r="BB412" i="5"/>
  <c r="BB391" i="5"/>
  <c r="BA391" i="5"/>
  <c r="BB532" i="5"/>
  <c r="BA532" i="5"/>
  <c r="BA515" i="5"/>
  <c r="BB515" i="5"/>
  <c r="BB490" i="5"/>
  <c r="BA490" i="5"/>
  <c r="BB471" i="5"/>
  <c r="BA471" i="5"/>
  <c r="BB457" i="5"/>
  <c r="BA457" i="5"/>
  <c r="BA401" i="5"/>
  <c r="BB401" i="5"/>
  <c r="BB311" i="5"/>
  <c r="BA311" i="5"/>
  <c r="BB400" i="5"/>
  <c r="BA400" i="5"/>
  <c r="BA379" i="5"/>
  <c r="BB379" i="5"/>
  <c r="BB366" i="5"/>
  <c r="BA366" i="5"/>
  <c r="BA348" i="5"/>
  <c r="BB348" i="5"/>
  <c r="BA336" i="5"/>
  <c r="BB336" i="5"/>
  <c r="BB286" i="5"/>
  <c r="BA286" i="5"/>
  <c r="BA254" i="5"/>
  <c r="BB254" i="5"/>
  <c r="BA418" i="5"/>
  <c r="BB418" i="5"/>
  <c r="BB402" i="5"/>
  <c r="BA402" i="5"/>
  <c r="BA389" i="5"/>
  <c r="BB389" i="5"/>
  <c r="BA377" i="5"/>
  <c r="BB377" i="5"/>
  <c r="BB363" i="5"/>
  <c r="BA363" i="5"/>
  <c r="BA350" i="5"/>
  <c r="BB350" i="5"/>
  <c r="BA293" i="5"/>
  <c r="BB293" i="5"/>
  <c r="BA250" i="5"/>
  <c r="BB250" i="5"/>
  <c r="BB431" i="5"/>
  <c r="BA431" i="5"/>
  <c r="BB414" i="5"/>
  <c r="BA414" i="5"/>
  <c r="BB404" i="5"/>
  <c r="BA404" i="5"/>
  <c r="BA376" i="5"/>
  <c r="BB376" i="5"/>
  <c r="BB360" i="5"/>
  <c r="BA360" i="5"/>
  <c r="BA319" i="5"/>
  <c r="BB319" i="5"/>
  <c r="BB224" i="5"/>
  <c r="BA224" i="5"/>
  <c r="BB357" i="5"/>
  <c r="BA357" i="5"/>
  <c r="BA343" i="5"/>
  <c r="BB343" i="5"/>
  <c r="BA330" i="5"/>
  <c r="BB330" i="5"/>
  <c r="BA320" i="5"/>
  <c r="BB320" i="5"/>
  <c r="BA310" i="5"/>
  <c r="BB310" i="5"/>
  <c r="BB301" i="5"/>
  <c r="BA301" i="5"/>
  <c r="BB275" i="5"/>
  <c r="BA275" i="5"/>
  <c r="BA257" i="5"/>
  <c r="BB257" i="5"/>
  <c r="BB248" i="5"/>
  <c r="BA248" i="5"/>
  <c r="BB192" i="5"/>
  <c r="BA192" i="5"/>
  <c r="BA321" i="5"/>
  <c r="BB321" i="5"/>
  <c r="BB294" i="5"/>
  <c r="BA294" i="5"/>
  <c r="BA272" i="5"/>
  <c r="BB272" i="5"/>
  <c r="BB253" i="5"/>
  <c r="BA253" i="5"/>
  <c r="BA327" i="5"/>
  <c r="BB327" i="5"/>
  <c r="BB307" i="5"/>
  <c r="BA307" i="5"/>
  <c r="BA291" i="5"/>
  <c r="BB291" i="5"/>
  <c r="BB281" i="5"/>
  <c r="BA281" i="5"/>
  <c r="BB271" i="5"/>
  <c r="BA271" i="5"/>
  <c r="BB259" i="5"/>
  <c r="BA259" i="5"/>
  <c r="BB193" i="5"/>
  <c r="BA193" i="5"/>
  <c r="BB239" i="5"/>
  <c r="BA239" i="5"/>
  <c r="BA215" i="5"/>
  <c r="BB215" i="5"/>
  <c r="BA186" i="5"/>
  <c r="BB186" i="5"/>
  <c r="BB244" i="5"/>
  <c r="BA244" i="5"/>
  <c r="BB228" i="5"/>
  <c r="BA228" i="5"/>
  <c r="BB217" i="5"/>
  <c r="BA217" i="5"/>
  <c r="BA204" i="5"/>
  <c r="BB204" i="5"/>
  <c r="BA182" i="5"/>
  <c r="BB182" i="5"/>
  <c r="BB233" i="5"/>
  <c r="BA233" i="5"/>
  <c r="BB216" i="5"/>
  <c r="BA216" i="5"/>
  <c r="BA205" i="5"/>
  <c r="BB205" i="5"/>
  <c r="BA165" i="5"/>
  <c r="BB165" i="5"/>
  <c r="BB203" i="5"/>
  <c r="BA203" i="5"/>
  <c r="BB187" i="5"/>
  <c r="BA187" i="5"/>
  <c r="BB162" i="5"/>
  <c r="BA162" i="5"/>
  <c r="BA143" i="5"/>
  <c r="BB143" i="5"/>
  <c r="BB185" i="5"/>
  <c r="BA185" i="5"/>
  <c r="BA170" i="5"/>
  <c r="BB170" i="5"/>
  <c r="BB153" i="5"/>
  <c r="BA153" i="5"/>
  <c r="BA181" i="5"/>
  <c r="BB181" i="5"/>
  <c r="BA167" i="5"/>
  <c r="BB167" i="5"/>
  <c r="BB104" i="5"/>
  <c r="BA104" i="5"/>
  <c r="BB142" i="5"/>
  <c r="BA142" i="5"/>
  <c r="BA124" i="5"/>
  <c r="BB124" i="5"/>
  <c r="BB155" i="5"/>
  <c r="BA155" i="5"/>
  <c r="BB146" i="5"/>
  <c r="BA146" i="5"/>
  <c r="BB128" i="5"/>
  <c r="BA128" i="5"/>
  <c r="BB120" i="5"/>
  <c r="BA120" i="5"/>
  <c r="BA106" i="5"/>
  <c r="BB106" i="5"/>
  <c r="BA151" i="5"/>
  <c r="BB151" i="5"/>
  <c r="BB129" i="5"/>
  <c r="BA129" i="5"/>
  <c r="BB99" i="5"/>
  <c r="BA99" i="5"/>
  <c r="BA87" i="5"/>
  <c r="BB87" i="5"/>
  <c r="BA102" i="5"/>
  <c r="BB102" i="5"/>
  <c r="BA96" i="5"/>
  <c r="BB96" i="5"/>
  <c r="BB90" i="5"/>
  <c r="BA90" i="5"/>
  <c r="BB93" i="5"/>
  <c r="BA93" i="5"/>
  <c r="BA77" i="5"/>
  <c r="BB77" i="5"/>
  <c r="BA62" i="5"/>
  <c r="BB62" i="5"/>
  <c r="BB79" i="5"/>
  <c r="BA79" i="5"/>
  <c r="BA49" i="5"/>
  <c r="BB49" i="5"/>
  <c r="BB57" i="5"/>
  <c r="BA57" i="5"/>
  <c r="BB58" i="5"/>
  <c r="BA58" i="5"/>
  <c r="BB63" i="5"/>
  <c r="BA63" i="5"/>
  <c r="BA28" i="5"/>
  <c r="BB28" i="5"/>
  <c r="BB67" i="5"/>
  <c r="BA67" i="5"/>
  <c r="BB42" i="5"/>
  <c r="BA42" i="5"/>
  <c r="BB46" i="5"/>
  <c r="BA46" i="5"/>
  <c r="BA33" i="5"/>
  <c r="BB33" i="5"/>
  <c r="BB37" i="5"/>
  <c r="BA37" i="5"/>
  <c r="BA25" i="5"/>
  <c r="BB25" i="5"/>
  <c r="BB36" i="5"/>
  <c r="BA36" i="5"/>
  <c r="BC343" i="5"/>
  <c r="AX529" i="5"/>
  <c r="AY529" i="5"/>
  <c r="AX498" i="5"/>
  <c r="AY498" i="5"/>
  <c r="AX530" i="5"/>
  <c r="AY530" i="5"/>
  <c r="AX404" i="5"/>
  <c r="AY404" i="5"/>
  <c r="AX536" i="5"/>
  <c r="AY536" i="5"/>
  <c r="AY456" i="5"/>
  <c r="AX456" i="5"/>
  <c r="AY414" i="5"/>
  <c r="AX414" i="5"/>
  <c r="AX503" i="5"/>
  <c r="AY503" i="5"/>
  <c r="AX463" i="5"/>
  <c r="AY463" i="5"/>
  <c r="AY537" i="5"/>
  <c r="AX537" i="5"/>
  <c r="AY480" i="5"/>
  <c r="AX480" i="5"/>
  <c r="AX352" i="5"/>
  <c r="AY352" i="5"/>
  <c r="AY386" i="5"/>
  <c r="AX386" i="5"/>
  <c r="AY259" i="5"/>
  <c r="AX259" i="5"/>
  <c r="AX364" i="5"/>
  <c r="AY364" i="5"/>
  <c r="AX419" i="5"/>
  <c r="AY419" i="5"/>
  <c r="AX377" i="5"/>
  <c r="AY377" i="5"/>
  <c r="AY296" i="5"/>
  <c r="AX296" i="5"/>
  <c r="AY319" i="5"/>
  <c r="AX319" i="5"/>
  <c r="AX260" i="5"/>
  <c r="AY260" i="5"/>
  <c r="AY306" i="5"/>
  <c r="AX306" i="5"/>
  <c r="AX255" i="5"/>
  <c r="AY255" i="5"/>
  <c r="AY302" i="5"/>
  <c r="AX302" i="5"/>
  <c r="AX243" i="5"/>
  <c r="AY243" i="5"/>
  <c r="AX206" i="5"/>
  <c r="AY206" i="5"/>
  <c r="AX237" i="5"/>
  <c r="AY237" i="5"/>
  <c r="AX219" i="5"/>
  <c r="AY219" i="5"/>
  <c r="AX124" i="5"/>
  <c r="AY124" i="5"/>
  <c r="AY178" i="5"/>
  <c r="AX178" i="5"/>
  <c r="AY139" i="5"/>
  <c r="AX139" i="5"/>
  <c r="AY108" i="5"/>
  <c r="AX108" i="5"/>
  <c r="AX122" i="5"/>
  <c r="AY122" i="5"/>
  <c r="AY126" i="5"/>
  <c r="AX126" i="5"/>
  <c r="AX90" i="5"/>
  <c r="AY90" i="5"/>
  <c r="AX82" i="5"/>
  <c r="AY82" i="5"/>
  <c r="AX75" i="5"/>
  <c r="AY75" i="5"/>
  <c r="AX49" i="5"/>
  <c r="AY49" i="5"/>
  <c r="AX39" i="5"/>
  <c r="AY39" i="5"/>
  <c r="AX29" i="5"/>
  <c r="AY29" i="5"/>
  <c r="AV449" i="5"/>
  <c r="AU449" i="5"/>
  <c r="BC449" i="5"/>
  <c r="AV523" i="5"/>
  <c r="AU523" i="5"/>
  <c r="BC523" i="5"/>
  <c r="AV545" i="5"/>
  <c r="BC545" i="5"/>
  <c r="AU545" i="5"/>
  <c r="AV542" i="5"/>
  <c r="AU542" i="5"/>
  <c r="BC542" i="5"/>
  <c r="AV473" i="5"/>
  <c r="AU473" i="5"/>
  <c r="BC473" i="5"/>
  <c r="AV548" i="5"/>
  <c r="AU548" i="5"/>
  <c r="BC548" i="5"/>
  <c r="AV425" i="5"/>
  <c r="BC425" i="5"/>
  <c r="AU425" i="5"/>
  <c r="B19" i="5"/>
  <c r="AX507" i="5"/>
  <c r="AY507" i="5"/>
  <c r="AX515" i="5"/>
  <c r="AY515" i="5"/>
  <c r="AX447" i="5"/>
  <c r="AY447" i="5"/>
  <c r="AY543" i="5"/>
  <c r="AX543" i="5"/>
  <c r="AX497" i="5"/>
  <c r="AY497" i="5"/>
  <c r="AY555" i="5"/>
  <c r="AX555" i="5"/>
  <c r="AX504" i="5"/>
  <c r="AY504" i="5"/>
  <c r="AY475" i="5"/>
  <c r="AX475" i="5"/>
  <c r="AX383" i="5"/>
  <c r="AY383" i="5"/>
  <c r="AY551" i="5"/>
  <c r="AX551" i="5"/>
  <c r="AX535" i="5"/>
  <c r="AY535" i="5"/>
  <c r="AX516" i="5"/>
  <c r="AY516" i="5"/>
  <c r="AY556" i="5"/>
  <c r="AX556" i="5"/>
  <c r="AX532" i="5"/>
  <c r="AY532" i="5"/>
  <c r="AX423" i="5"/>
  <c r="AY423" i="5"/>
  <c r="BC279" i="5"/>
  <c r="AY279" i="5"/>
  <c r="AX279" i="5"/>
  <c r="AY547" i="5"/>
  <c r="AX547" i="5"/>
  <c r="AY538" i="5"/>
  <c r="AX538" i="5"/>
  <c r="AX527" i="5"/>
  <c r="AY527" i="5"/>
  <c r="AY496" i="5"/>
  <c r="AX496" i="5"/>
  <c r="AX483" i="5"/>
  <c r="AY483" i="5"/>
  <c r="AY458" i="5"/>
  <c r="AX458" i="5"/>
  <c r="AX442" i="5"/>
  <c r="AY442" i="5"/>
  <c r="AX425" i="5"/>
  <c r="AY425" i="5"/>
  <c r="AX417" i="5"/>
  <c r="AY417" i="5"/>
  <c r="AX393" i="5"/>
  <c r="AY393" i="5"/>
  <c r="AX335" i="5"/>
  <c r="AY335" i="5"/>
  <c r="AY518" i="5"/>
  <c r="AX518" i="5"/>
  <c r="AX508" i="5"/>
  <c r="AY508" i="5"/>
  <c r="AX494" i="5"/>
  <c r="AY494" i="5"/>
  <c r="AX487" i="5"/>
  <c r="AY487" i="5"/>
  <c r="AX466" i="5"/>
  <c r="AY466" i="5"/>
  <c r="AX451" i="5"/>
  <c r="AY451" i="5"/>
  <c r="AX441" i="5"/>
  <c r="AY441" i="5"/>
  <c r="AY418" i="5"/>
  <c r="AX418" i="5"/>
  <c r="AY288" i="5"/>
  <c r="AX288" i="5"/>
  <c r="AY512" i="5"/>
  <c r="AX512" i="5"/>
  <c r="AX500" i="5"/>
  <c r="AY500" i="5"/>
  <c r="AX482" i="5"/>
  <c r="AY482" i="5"/>
  <c r="AX476" i="5"/>
  <c r="AY476" i="5"/>
  <c r="AX461" i="5"/>
  <c r="AY461" i="5"/>
  <c r="AX440" i="5"/>
  <c r="AY440" i="5"/>
  <c r="AX385" i="5"/>
  <c r="AY385" i="5"/>
  <c r="AX409" i="5"/>
  <c r="AY409" i="5"/>
  <c r="AX401" i="5"/>
  <c r="AY401" i="5"/>
  <c r="AX387" i="5"/>
  <c r="AY387" i="5"/>
  <c r="AX376" i="5"/>
  <c r="AY376" i="5"/>
  <c r="AY343" i="5"/>
  <c r="AX343" i="5"/>
  <c r="AX264" i="5"/>
  <c r="AY264" i="5"/>
  <c r="AX406" i="5"/>
  <c r="AY406" i="5"/>
  <c r="AX394" i="5"/>
  <c r="AY394" i="5"/>
  <c r="AX366" i="5"/>
  <c r="AY366" i="5"/>
  <c r="AY349" i="5"/>
  <c r="AX349" i="5"/>
  <c r="AX336" i="5"/>
  <c r="AY336" i="5"/>
  <c r="AX439" i="5"/>
  <c r="AY439" i="5"/>
  <c r="AX426" i="5"/>
  <c r="AY426" i="5"/>
  <c r="AX412" i="5"/>
  <c r="AY412" i="5"/>
  <c r="AX390" i="5"/>
  <c r="AY390" i="5"/>
  <c r="AX379" i="5"/>
  <c r="AY379" i="5"/>
  <c r="AX365" i="5"/>
  <c r="AY365" i="5"/>
  <c r="AX356" i="5"/>
  <c r="AY356" i="5"/>
  <c r="AX344" i="5"/>
  <c r="AY344" i="5"/>
  <c r="AY307" i="5"/>
  <c r="AX307" i="5"/>
  <c r="AX212" i="5"/>
  <c r="AY212" i="5"/>
  <c r="AX340" i="5"/>
  <c r="AY340" i="5"/>
  <c r="AX325" i="5"/>
  <c r="AY325" i="5"/>
  <c r="AX308" i="5"/>
  <c r="AY308" i="5"/>
  <c r="AY292" i="5"/>
  <c r="AX292" i="5"/>
  <c r="AX277" i="5"/>
  <c r="AY277" i="5"/>
  <c r="AX267" i="5"/>
  <c r="AY267" i="5"/>
  <c r="AX250" i="5"/>
  <c r="AY250" i="5"/>
  <c r="AY190" i="5"/>
  <c r="AX190" i="5"/>
  <c r="AY320" i="5"/>
  <c r="AX320" i="5"/>
  <c r="AY309" i="5"/>
  <c r="AX309" i="5"/>
  <c r="AY293" i="5"/>
  <c r="AX293" i="5"/>
  <c r="AX275" i="5"/>
  <c r="AY275" i="5"/>
  <c r="AY257" i="5"/>
  <c r="AX257" i="5"/>
  <c r="AY249" i="5"/>
  <c r="AX249" i="5"/>
  <c r="AX177" i="5"/>
  <c r="AY177" i="5"/>
  <c r="AX326" i="5"/>
  <c r="AY326" i="5"/>
  <c r="AY305" i="5"/>
  <c r="AX305" i="5"/>
  <c r="AY290" i="5"/>
  <c r="AX290" i="5"/>
  <c r="AX269" i="5"/>
  <c r="AY269" i="5"/>
  <c r="AY247" i="5"/>
  <c r="AX247" i="5"/>
  <c r="AX211" i="5"/>
  <c r="AY211" i="5"/>
  <c r="AX232" i="5"/>
  <c r="AY232" i="5"/>
  <c r="AX223" i="5"/>
  <c r="AY223" i="5"/>
  <c r="AY209" i="5"/>
  <c r="AX209" i="5"/>
  <c r="BC193" i="5"/>
  <c r="AX193" i="5"/>
  <c r="AY193" i="5"/>
  <c r="AX181" i="5"/>
  <c r="AY181" i="5"/>
  <c r="AX239" i="5"/>
  <c r="AY239" i="5"/>
  <c r="AY215" i="5"/>
  <c r="AX215" i="5"/>
  <c r="AX167" i="5"/>
  <c r="AY167" i="5"/>
  <c r="AY238" i="5"/>
  <c r="AX238" i="5"/>
  <c r="AX222" i="5"/>
  <c r="AY222" i="5"/>
  <c r="AY210" i="5"/>
  <c r="AX210" i="5"/>
  <c r="AX194" i="5"/>
  <c r="AY194" i="5"/>
  <c r="AX142" i="5"/>
  <c r="AY142" i="5"/>
  <c r="AX200" i="5"/>
  <c r="AY200" i="5"/>
  <c r="AX184" i="5"/>
  <c r="AY184" i="5"/>
  <c r="AX165" i="5"/>
  <c r="AY165" i="5"/>
  <c r="AX179" i="5"/>
  <c r="AY179" i="5"/>
  <c r="AY186" i="5"/>
  <c r="AX186" i="5"/>
  <c r="AX174" i="5"/>
  <c r="AY174" i="5"/>
  <c r="AX159" i="5"/>
  <c r="AY159" i="5"/>
  <c r="AY154" i="5"/>
  <c r="AX154" i="5"/>
  <c r="AY144" i="5"/>
  <c r="AX144" i="5"/>
  <c r="AY129" i="5"/>
  <c r="AX129" i="5"/>
  <c r="AX110" i="5"/>
  <c r="AY110" i="5"/>
  <c r="AX86" i="5"/>
  <c r="AY86" i="5"/>
  <c r="AX153" i="5"/>
  <c r="AY153" i="5"/>
  <c r="AY136" i="5"/>
  <c r="AX136" i="5"/>
  <c r="AX127" i="5"/>
  <c r="AY127" i="5"/>
  <c r="AX87" i="5"/>
  <c r="AY87" i="5"/>
  <c r="AX149" i="5"/>
  <c r="AY149" i="5"/>
  <c r="BC128" i="5"/>
  <c r="AX128" i="5"/>
  <c r="AY128" i="5"/>
  <c r="AX118" i="5"/>
  <c r="AY118" i="5"/>
  <c r="AX106" i="5"/>
  <c r="AY106" i="5"/>
  <c r="AX100" i="5"/>
  <c r="AY100" i="5"/>
  <c r="AX92" i="5"/>
  <c r="AY92" i="5"/>
  <c r="AX109" i="5"/>
  <c r="AY109" i="5"/>
  <c r="AX94" i="5"/>
  <c r="AY94" i="5"/>
  <c r="AX78" i="5"/>
  <c r="AY78" i="5"/>
  <c r="AX67" i="5"/>
  <c r="AY67" i="5"/>
  <c r="AX74" i="5"/>
  <c r="AY74" i="5"/>
  <c r="AX77" i="5"/>
  <c r="AY77" i="5"/>
  <c r="AX79" i="5"/>
  <c r="AY79" i="5"/>
  <c r="AY62" i="5"/>
  <c r="AX62" i="5"/>
  <c r="AX50" i="5"/>
  <c r="AY50" i="5"/>
  <c r="AX27" i="5"/>
  <c r="AY27" i="5"/>
  <c r="AX55" i="5"/>
  <c r="AY55" i="5"/>
  <c r="AX69" i="5"/>
  <c r="AY69" i="5"/>
  <c r="AX42" i="5"/>
  <c r="AY42" i="5"/>
  <c r="AY28" i="5"/>
  <c r="AX28" i="5"/>
  <c r="AX44" i="5"/>
  <c r="AY44" i="5"/>
  <c r="AX30" i="5"/>
  <c r="AY30" i="5"/>
  <c r="AX43" i="5"/>
  <c r="AY43" i="5"/>
  <c r="AY25" i="5"/>
  <c r="AX25" i="5"/>
  <c r="AU19" i="5"/>
  <c r="AV19" i="5"/>
  <c r="BC19" i="5"/>
  <c r="AV527" i="5"/>
  <c r="AU527" i="5"/>
  <c r="BC527" i="5"/>
  <c r="AV470" i="5"/>
  <c r="AU470" i="5"/>
  <c r="BC470" i="5"/>
  <c r="AU560" i="5"/>
  <c r="AV560" i="5"/>
  <c r="BC560" i="5"/>
  <c r="AV529" i="5"/>
  <c r="AU529" i="5"/>
  <c r="BC529" i="5"/>
  <c r="AV461" i="5"/>
  <c r="AU461" i="5"/>
  <c r="BC461" i="5"/>
  <c r="BC428" i="5"/>
  <c r="AV428" i="5"/>
  <c r="AU428" i="5"/>
  <c r="AV389" i="5"/>
  <c r="BC389" i="5"/>
  <c r="AU389" i="5"/>
  <c r="AV540" i="5"/>
  <c r="AU540" i="5"/>
  <c r="BC540" i="5"/>
  <c r="AU552" i="5"/>
  <c r="AV552" i="5"/>
  <c r="BC552" i="5"/>
  <c r="AV519" i="5"/>
  <c r="AU519" i="5"/>
  <c r="BC519" i="5"/>
  <c r="AV455" i="5"/>
  <c r="AU455" i="5"/>
  <c r="BC455" i="5"/>
  <c r="BC547" i="5"/>
  <c r="AV547" i="5"/>
  <c r="AU547" i="5"/>
  <c r="AV535" i="5"/>
  <c r="AU535" i="5"/>
  <c r="BC535" i="5"/>
  <c r="AU506" i="5"/>
  <c r="BC506" i="5"/>
  <c r="AV506" i="5"/>
  <c r="AV476" i="5"/>
  <c r="BC476" i="5"/>
  <c r="AU476" i="5"/>
  <c r="AV392" i="5"/>
  <c r="BC392" i="5"/>
  <c r="AU392" i="5"/>
  <c r="AU557" i="5"/>
  <c r="AV557" i="5"/>
  <c r="BC557" i="5"/>
  <c r="AV549" i="5"/>
  <c r="AU549" i="5"/>
  <c r="BC549" i="5"/>
  <c r="AV531" i="5"/>
  <c r="AU531" i="5"/>
  <c r="BC531" i="5"/>
  <c r="AV512" i="5"/>
  <c r="AU512" i="5"/>
  <c r="BC512" i="5"/>
  <c r="AV498" i="5"/>
  <c r="BC498" i="5"/>
  <c r="AU498" i="5"/>
  <c r="AV477" i="5"/>
  <c r="AU477" i="5"/>
  <c r="BC477" i="5"/>
  <c r="AV462" i="5"/>
  <c r="AU462" i="5"/>
  <c r="BC462" i="5"/>
  <c r="AU452" i="5"/>
  <c r="BC452" i="5"/>
  <c r="AV452" i="5"/>
  <c r="AV363" i="5"/>
  <c r="AU363" i="5"/>
  <c r="BC363" i="5"/>
  <c r="AV517" i="5"/>
  <c r="AU517" i="5"/>
  <c r="BC517" i="5"/>
  <c r="AV497" i="5"/>
  <c r="AU497" i="5"/>
  <c r="BC497" i="5"/>
  <c r="AV485" i="5"/>
  <c r="AU485" i="5"/>
  <c r="BC485" i="5"/>
  <c r="AV464" i="5"/>
  <c r="BC464" i="5"/>
  <c r="AU464" i="5"/>
  <c r="BC448" i="5"/>
  <c r="AV448" i="5"/>
  <c r="AU448" i="5"/>
  <c r="BC434" i="5"/>
  <c r="AV434" i="5"/>
  <c r="AU434" i="5"/>
  <c r="AV384" i="5"/>
  <c r="BC384" i="5"/>
  <c r="AU384" i="5"/>
  <c r="BC294" i="5"/>
  <c r="AV294" i="5"/>
  <c r="AU294" i="5"/>
  <c r="AV513" i="5"/>
  <c r="AU513" i="5"/>
  <c r="BC513" i="5"/>
  <c r="AU499" i="5"/>
  <c r="BC499" i="5"/>
  <c r="AV499" i="5"/>
  <c r="AU488" i="5"/>
  <c r="BC488" i="5"/>
  <c r="AV488" i="5"/>
  <c r="AV466" i="5"/>
  <c r="BC466" i="5"/>
  <c r="AU466" i="5"/>
  <c r="BC443" i="5"/>
  <c r="AV443" i="5"/>
  <c r="AU443" i="5"/>
  <c r="AV419" i="5"/>
  <c r="BC419" i="5"/>
  <c r="AU419" i="5"/>
  <c r="AV350" i="5"/>
  <c r="AU350" i="5"/>
  <c r="BC350" i="5"/>
  <c r="AU305" i="5"/>
  <c r="BC305" i="5"/>
  <c r="AV305" i="5"/>
  <c r="BC418" i="5"/>
  <c r="AV418" i="5"/>
  <c r="AU418" i="5"/>
  <c r="AV404" i="5"/>
  <c r="AU404" i="5"/>
  <c r="BC404" i="5"/>
  <c r="AV383" i="5"/>
  <c r="BC383" i="5"/>
  <c r="AU383" i="5"/>
  <c r="BC361" i="5"/>
  <c r="AV361" i="5"/>
  <c r="AU361" i="5"/>
  <c r="AV351" i="5"/>
  <c r="BC351" i="5"/>
  <c r="AU351" i="5"/>
  <c r="AU202" i="5"/>
  <c r="AV202" i="5"/>
  <c r="BC202" i="5"/>
  <c r="AV405" i="5"/>
  <c r="BC405" i="5"/>
  <c r="AU405" i="5"/>
  <c r="AV387" i="5"/>
  <c r="BC387" i="5"/>
  <c r="AU387" i="5"/>
  <c r="AV372" i="5"/>
  <c r="AU372" i="5"/>
  <c r="BC372" i="5"/>
  <c r="AV355" i="5"/>
  <c r="AU355" i="5"/>
  <c r="BC355" i="5"/>
  <c r="AV326" i="5"/>
  <c r="AU326" i="5"/>
  <c r="BC326" i="5"/>
  <c r="AU267" i="5"/>
  <c r="AV267" i="5"/>
  <c r="BC267" i="5"/>
  <c r="AV437" i="5"/>
  <c r="BC437" i="5"/>
  <c r="AU437" i="5"/>
  <c r="AV424" i="5"/>
  <c r="AU424" i="5"/>
  <c r="BC424" i="5"/>
  <c r="AV406" i="5"/>
  <c r="AU406" i="5"/>
  <c r="BC406" i="5"/>
  <c r="AV398" i="5"/>
  <c r="AU398" i="5"/>
  <c r="BC398" i="5"/>
  <c r="AV382" i="5"/>
  <c r="AU382" i="5"/>
  <c r="BC382" i="5"/>
  <c r="AV364" i="5"/>
  <c r="BC364" i="5"/>
  <c r="AU364" i="5"/>
  <c r="AU290" i="5"/>
  <c r="BC290" i="5"/>
  <c r="AV290" i="5"/>
  <c r="AV359" i="5"/>
  <c r="BC359" i="5"/>
  <c r="AU359" i="5"/>
  <c r="AV348" i="5"/>
  <c r="AU348" i="5"/>
  <c r="BC348" i="5"/>
  <c r="AV338" i="5"/>
  <c r="AU338" i="5"/>
  <c r="BC338" i="5"/>
  <c r="AU318" i="5"/>
  <c r="BC318" i="5"/>
  <c r="AV318" i="5"/>
  <c r="BC300" i="5"/>
  <c r="AU300" i="5"/>
  <c r="AV300" i="5"/>
  <c r="BC285" i="5"/>
  <c r="AV285" i="5"/>
  <c r="AU285" i="5"/>
  <c r="AV264" i="5"/>
  <c r="AU264" i="5"/>
  <c r="BC264" i="5"/>
  <c r="AU244" i="5"/>
  <c r="AV244" i="5"/>
  <c r="BC244" i="5"/>
  <c r="AU117" i="5"/>
  <c r="AV117" i="5"/>
  <c r="BC319" i="5"/>
  <c r="AV319" i="5"/>
  <c r="AU319" i="5"/>
  <c r="BC304" i="5"/>
  <c r="AV304" i="5"/>
  <c r="AU304" i="5"/>
  <c r="AU289" i="5"/>
  <c r="BC289" i="5"/>
  <c r="AV289" i="5"/>
  <c r="AU278" i="5"/>
  <c r="AV278" i="5"/>
  <c r="BC278" i="5"/>
  <c r="BC258" i="5"/>
  <c r="AU258" i="5"/>
  <c r="AV258" i="5"/>
  <c r="BC219" i="5"/>
  <c r="AU219" i="5"/>
  <c r="AV219" i="5"/>
  <c r="AV332" i="5"/>
  <c r="BC332" i="5"/>
  <c r="AU332" i="5"/>
  <c r="BC315" i="5"/>
  <c r="AU315" i="5"/>
  <c r="AV315" i="5"/>
  <c r="AU306" i="5"/>
  <c r="BC306" i="5"/>
  <c r="AV306" i="5"/>
  <c r="BC287" i="5"/>
  <c r="AU287" i="5"/>
  <c r="AV287" i="5"/>
  <c r="AU274" i="5"/>
  <c r="AV274" i="5"/>
  <c r="BC274" i="5"/>
  <c r="AV260" i="5"/>
  <c r="AU260" i="5"/>
  <c r="BC260" i="5"/>
  <c r="AU252" i="5"/>
  <c r="AV252" i="5"/>
  <c r="BC252" i="5"/>
  <c r="AU214" i="5"/>
  <c r="AV214" i="5"/>
  <c r="BC214" i="5"/>
  <c r="AU235" i="5"/>
  <c r="AV235" i="5"/>
  <c r="BC235" i="5"/>
  <c r="AV222" i="5"/>
  <c r="AU222" i="5"/>
  <c r="BC222" i="5"/>
  <c r="AU212" i="5"/>
  <c r="AV212" i="5"/>
  <c r="BC212" i="5"/>
  <c r="AU166" i="5"/>
  <c r="AV166" i="5"/>
  <c r="BC166" i="5"/>
  <c r="AV232" i="5"/>
  <c r="AU232" i="5"/>
  <c r="BC232" i="5"/>
  <c r="AV216" i="5"/>
  <c r="AU216" i="5"/>
  <c r="BC216" i="5"/>
  <c r="AU192" i="5"/>
  <c r="AV192" i="5"/>
  <c r="BC192" i="5"/>
  <c r="AU245" i="5"/>
  <c r="AV245" i="5"/>
  <c r="BC245" i="5"/>
  <c r="AU223" i="5"/>
  <c r="BC223" i="5"/>
  <c r="AV223" i="5"/>
  <c r="AV193" i="5"/>
  <c r="AU193" i="5"/>
  <c r="AU201" i="5"/>
  <c r="BC201" i="5"/>
  <c r="AV201" i="5"/>
  <c r="AU194" i="5"/>
  <c r="AV194" i="5"/>
  <c r="BC194" i="5"/>
  <c r="AU185" i="5"/>
  <c r="AV185" i="5"/>
  <c r="BC185" i="5"/>
  <c r="AU162" i="5"/>
  <c r="AV162" i="5"/>
  <c r="BC162" i="5"/>
  <c r="BC140" i="5"/>
  <c r="AU140" i="5"/>
  <c r="AV140" i="5"/>
  <c r="AU184" i="5"/>
  <c r="AV184" i="5"/>
  <c r="BC184" i="5"/>
  <c r="AV169" i="5"/>
  <c r="AU169" i="5"/>
  <c r="BC169" i="5"/>
  <c r="AV149" i="5"/>
  <c r="AU149" i="5"/>
  <c r="BC149" i="5"/>
  <c r="AU112" i="5"/>
  <c r="AV112" i="5"/>
  <c r="BC112" i="5"/>
  <c r="AU178" i="5"/>
  <c r="AV178" i="5"/>
  <c r="BC178" i="5"/>
  <c r="AU158" i="5"/>
  <c r="BC158" i="5"/>
  <c r="AV158" i="5"/>
  <c r="AU144" i="5"/>
  <c r="BC144" i="5"/>
  <c r="AV144" i="5"/>
  <c r="AV116" i="5"/>
  <c r="AU116" i="5"/>
  <c r="BC116" i="5"/>
  <c r="AU146" i="5"/>
  <c r="AV146" i="5"/>
  <c r="BC146" i="5"/>
  <c r="AU134" i="5"/>
  <c r="BC134" i="5"/>
  <c r="AV134" i="5"/>
  <c r="AU119" i="5"/>
  <c r="AV119" i="5"/>
  <c r="BC99" i="5"/>
  <c r="AU99" i="5"/>
  <c r="AV99" i="5"/>
  <c r="AU148" i="5"/>
  <c r="AV148" i="5"/>
  <c r="BC148" i="5"/>
  <c r="AV104" i="5"/>
  <c r="AU104" i="5"/>
  <c r="BC104" i="5"/>
  <c r="AU143" i="5"/>
  <c r="AV143" i="5"/>
  <c r="BC143" i="5"/>
  <c r="AU127" i="5"/>
  <c r="AV127" i="5"/>
  <c r="AV113" i="5"/>
  <c r="AU113" i="5"/>
  <c r="BC113" i="5"/>
  <c r="AV101" i="5"/>
  <c r="AU101" i="5"/>
  <c r="BC101" i="5"/>
  <c r="AV82" i="5"/>
  <c r="BC82" i="5"/>
  <c r="AU82" i="5"/>
  <c r="AV105" i="5"/>
  <c r="AU105" i="5"/>
  <c r="BC105" i="5"/>
  <c r="AU97" i="5"/>
  <c r="AV97" i="5"/>
  <c r="BC97" i="5"/>
  <c r="AV94" i="5"/>
  <c r="AU94" i="5"/>
  <c r="BC94" i="5"/>
  <c r="AV81" i="5"/>
  <c r="AU81" i="5"/>
  <c r="BC81" i="5"/>
  <c r="AU72" i="5"/>
  <c r="AV72" i="5"/>
  <c r="BC72" i="5"/>
  <c r="AV70" i="5"/>
  <c r="BC70" i="5"/>
  <c r="AU70" i="5"/>
  <c r="AV26" i="5"/>
  <c r="AU26" i="5"/>
  <c r="BC26" i="5"/>
  <c r="AU58" i="5"/>
  <c r="BC58" i="5"/>
  <c r="AV58" i="5"/>
  <c r="AU67" i="5"/>
  <c r="AV67" i="5"/>
  <c r="BC67" i="5"/>
  <c r="AU56" i="5"/>
  <c r="AV56" i="5"/>
  <c r="BC56" i="5"/>
  <c r="AV57" i="5"/>
  <c r="AU57" i="5"/>
  <c r="BC57" i="5"/>
  <c r="AU37" i="5"/>
  <c r="AV37" i="5"/>
  <c r="BC37" i="5"/>
  <c r="AU48" i="5"/>
  <c r="BC48" i="5"/>
  <c r="AV48" i="5"/>
  <c r="AU36" i="5"/>
  <c r="AV36" i="5"/>
  <c r="BC36" i="5"/>
  <c r="AV45" i="5"/>
  <c r="AU45" i="5"/>
  <c r="BC45" i="5"/>
  <c r="BC28" i="5"/>
  <c r="AV28" i="5"/>
  <c r="AU28" i="5"/>
  <c r="BC44" i="5"/>
  <c r="AU44" i="5"/>
  <c r="AV44" i="5"/>
  <c r="AV30" i="5"/>
  <c r="AU30" i="5"/>
  <c r="BC30" i="5"/>
  <c r="BA19" i="5"/>
  <c r="BB19" i="5"/>
  <c r="BA464" i="5"/>
  <c r="BB464" i="5"/>
  <c r="BA559" i="5"/>
  <c r="BB559" i="5"/>
  <c r="BA541" i="5"/>
  <c r="BB541" i="5"/>
  <c r="BB501" i="5"/>
  <c r="BA501" i="5"/>
  <c r="BB407" i="5"/>
  <c r="BA407" i="5"/>
  <c r="BB544" i="5"/>
  <c r="BA544" i="5"/>
  <c r="BB448" i="5"/>
  <c r="BA448" i="5"/>
  <c r="BB558" i="5"/>
  <c r="BA558" i="5"/>
  <c r="BA548" i="5"/>
  <c r="BB548" i="5"/>
  <c r="BB529" i="5"/>
  <c r="BA529" i="5"/>
  <c r="BB513" i="5"/>
  <c r="BA513" i="5"/>
  <c r="BA425" i="5"/>
  <c r="BB425" i="5"/>
  <c r="BB229" i="5"/>
  <c r="BA229" i="5"/>
  <c r="BA545" i="5"/>
  <c r="BB545" i="5"/>
  <c r="BA522" i="5"/>
  <c r="BB522" i="5"/>
  <c r="BA509" i="5"/>
  <c r="BB509" i="5"/>
  <c r="BA502" i="5"/>
  <c r="BB502" i="5"/>
  <c r="BB494" i="5"/>
  <c r="BA494" i="5"/>
  <c r="BA488" i="5"/>
  <c r="BB488" i="5"/>
  <c r="BA479" i="5"/>
  <c r="BB479" i="5"/>
  <c r="BA466" i="5"/>
  <c r="BB466" i="5"/>
  <c r="BB453" i="5"/>
  <c r="BA453" i="5"/>
  <c r="BA441" i="5"/>
  <c r="BB441" i="5"/>
  <c r="BB405" i="5"/>
  <c r="BA405" i="5"/>
  <c r="BB353" i="5"/>
  <c r="BA353" i="5"/>
  <c r="BB516" i="5"/>
  <c r="BA516" i="5"/>
  <c r="BB507" i="5"/>
  <c r="BA507" i="5"/>
  <c r="BB480" i="5"/>
  <c r="BA480" i="5"/>
  <c r="BA468" i="5"/>
  <c r="BB468" i="5"/>
  <c r="BB461" i="5"/>
  <c r="BA461" i="5"/>
  <c r="BB429" i="5"/>
  <c r="BA429" i="5"/>
  <c r="BA403" i="5"/>
  <c r="BB403" i="5"/>
  <c r="BB382" i="5"/>
  <c r="BA382" i="5"/>
  <c r="BB531" i="5"/>
  <c r="BA531" i="5"/>
  <c r="BA504" i="5"/>
  <c r="BB504" i="5"/>
  <c r="BB478" i="5"/>
  <c r="BA478" i="5"/>
  <c r="BA460" i="5"/>
  <c r="BB460" i="5"/>
  <c r="BA452" i="5"/>
  <c r="BB452" i="5"/>
  <c r="BA368" i="5"/>
  <c r="BB368" i="5"/>
  <c r="BA416" i="5"/>
  <c r="BB416" i="5"/>
  <c r="BA398" i="5"/>
  <c r="BB398" i="5"/>
  <c r="BA378" i="5"/>
  <c r="BB378" i="5"/>
  <c r="BA364" i="5"/>
  <c r="BB364" i="5"/>
  <c r="BB342" i="5"/>
  <c r="BA342" i="5"/>
  <c r="BA333" i="5"/>
  <c r="BB333" i="5"/>
  <c r="BB280" i="5"/>
  <c r="BA280" i="5"/>
  <c r="BA245" i="5"/>
  <c r="BB245" i="5"/>
  <c r="BB417" i="5"/>
  <c r="BA417" i="5"/>
  <c r="BB399" i="5"/>
  <c r="BA399" i="5"/>
  <c r="BA386" i="5"/>
  <c r="BB386" i="5"/>
  <c r="BA375" i="5"/>
  <c r="BB375" i="5"/>
  <c r="BB361" i="5"/>
  <c r="BA361" i="5"/>
  <c r="BA345" i="5"/>
  <c r="BB345" i="5"/>
  <c r="BB277" i="5"/>
  <c r="BA277" i="5"/>
  <c r="BA440" i="5"/>
  <c r="BB440" i="5"/>
  <c r="BA428" i="5"/>
  <c r="BB428" i="5"/>
  <c r="BA411" i="5"/>
  <c r="BB411" i="5"/>
  <c r="BB393" i="5"/>
  <c r="BA393" i="5"/>
  <c r="BA373" i="5"/>
  <c r="BB373" i="5"/>
  <c r="BB352" i="5"/>
  <c r="BA352" i="5"/>
  <c r="BB316" i="5"/>
  <c r="BA316" i="5"/>
  <c r="BB218" i="5"/>
  <c r="BA218" i="5"/>
  <c r="BA351" i="5"/>
  <c r="BB351" i="5"/>
  <c r="BA339" i="5"/>
  <c r="BB339" i="5"/>
  <c r="BB329" i="5"/>
  <c r="BA329" i="5"/>
  <c r="BA315" i="5"/>
  <c r="BB315" i="5"/>
  <c r="BA309" i="5"/>
  <c r="BB309" i="5"/>
  <c r="BB295" i="5"/>
  <c r="BA295" i="5"/>
  <c r="BA268" i="5"/>
  <c r="BB268" i="5"/>
  <c r="BB255" i="5"/>
  <c r="BA255" i="5"/>
  <c r="BB241" i="5"/>
  <c r="BA241" i="5"/>
  <c r="BA188" i="5"/>
  <c r="BB188" i="5"/>
  <c r="BA317" i="5"/>
  <c r="BB317" i="5"/>
  <c r="BB290" i="5"/>
  <c r="BA290" i="5"/>
  <c r="BB269" i="5"/>
  <c r="BA269" i="5"/>
  <c r="BB247" i="5"/>
  <c r="BA247" i="5"/>
  <c r="BA323" i="5"/>
  <c r="BB323" i="5"/>
  <c r="BB303" i="5"/>
  <c r="BA303" i="5"/>
  <c r="BA288" i="5"/>
  <c r="BB288" i="5"/>
  <c r="BB279" i="5"/>
  <c r="BA279" i="5"/>
  <c r="BA266" i="5"/>
  <c r="BB266" i="5"/>
  <c r="BB246" i="5"/>
  <c r="BA246" i="5"/>
  <c r="BA191" i="5"/>
  <c r="BB191" i="5"/>
  <c r="BB237" i="5"/>
  <c r="BA237" i="5"/>
  <c r="BA202" i="5"/>
  <c r="BB202" i="5"/>
  <c r="BB184" i="5"/>
  <c r="BA184" i="5"/>
  <c r="BB242" i="5"/>
  <c r="BA242" i="5"/>
  <c r="BA226" i="5"/>
  <c r="BB226" i="5"/>
  <c r="BA214" i="5"/>
  <c r="BB214" i="5"/>
  <c r="BB196" i="5"/>
  <c r="BA196" i="5"/>
  <c r="BB179" i="5"/>
  <c r="BA179" i="5"/>
  <c r="BB230" i="5"/>
  <c r="BA230" i="5"/>
  <c r="BA213" i="5"/>
  <c r="BB213" i="5"/>
  <c r="BB190" i="5"/>
  <c r="BA190" i="5"/>
  <c r="BB136" i="5"/>
  <c r="BA136" i="5"/>
  <c r="BB201" i="5"/>
  <c r="BA201" i="5"/>
  <c r="BA183" i="5"/>
  <c r="BB183" i="5"/>
  <c r="BA158" i="5"/>
  <c r="BB158" i="5"/>
  <c r="BB134" i="5"/>
  <c r="BA134" i="5"/>
  <c r="BA180" i="5"/>
  <c r="BB180" i="5"/>
  <c r="BA166" i="5"/>
  <c r="BB166" i="5"/>
  <c r="BA150" i="5"/>
  <c r="BB150" i="5"/>
  <c r="BB177" i="5"/>
  <c r="BA177" i="5"/>
  <c r="BB163" i="5"/>
  <c r="BA163" i="5"/>
  <c r="BB101" i="5"/>
  <c r="BA101" i="5"/>
  <c r="BB139" i="5"/>
  <c r="BA139" i="5"/>
  <c r="BA119" i="5"/>
  <c r="BB119" i="5"/>
  <c r="BA154" i="5"/>
  <c r="BB154" i="5"/>
  <c r="BA138" i="5"/>
  <c r="BB138" i="5"/>
  <c r="BA126" i="5"/>
  <c r="BB126" i="5"/>
  <c r="BA117" i="5"/>
  <c r="BB117" i="5"/>
  <c r="BA100" i="5"/>
  <c r="BB100" i="5"/>
  <c r="BB144" i="5"/>
  <c r="BA144" i="5"/>
  <c r="BA121" i="5"/>
  <c r="BB121" i="5"/>
  <c r="BA94" i="5"/>
  <c r="BB94" i="5"/>
  <c r="BB86" i="5"/>
  <c r="BA86" i="5"/>
  <c r="BB74" i="5"/>
  <c r="BA74" i="5"/>
  <c r="BB95" i="5"/>
  <c r="BA95" i="5"/>
  <c r="BB89" i="5"/>
  <c r="BA89" i="5"/>
  <c r="BB84" i="5"/>
  <c r="BA84" i="5"/>
  <c r="BB76" i="5"/>
  <c r="BA76" i="5"/>
  <c r="BA59" i="5"/>
  <c r="BB59" i="5"/>
  <c r="BA75" i="5"/>
  <c r="BB75" i="5"/>
  <c r="BB78" i="5"/>
  <c r="BA78" i="5"/>
  <c r="BB54" i="5"/>
  <c r="BA54" i="5"/>
  <c r="BA55" i="5"/>
  <c r="BB55" i="5"/>
  <c r="BA52" i="5"/>
  <c r="BB52" i="5"/>
  <c r="BB21" i="5"/>
  <c r="BA21" i="5"/>
  <c r="BB64" i="5"/>
  <c r="BA64" i="5"/>
  <c r="BB35" i="5"/>
  <c r="BA35" i="5"/>
  <c r="BB44" i="5"/>
  <c r="BA44" i="5"/>
  <c r="BB30" i="5"/>
  <c r="BA30" i="5"/>
  <c r="BA31" i="5"/>
  <c r="BB31" i="5"/>
  <c r="BA22" i="5"/>
  <c r="BB22" i="5"/>
  <c r="BA34" i="5"/>
  <c r="BB34" i="5"/>
  <c r="BC127" i="5"/>
  <c r="B20" i="5"/>
  <c r="B13" i="5"/>
  <c r="B121" i="2"/>
  <c r="B90" i="2"/>
  <c r="B73" i="2"/>
  <c r="B11" i="2"/>
  <c r="H13" i="1" s="1"/>
  <c r="B16" i="2"/>
  <c r="H14" i="1" s="1"/>
  <c r="B15" i="2"/>
  <c r="AL106" i="5" l="1"/>
  <c r="AK63" i="5"/>
  <c r="AK81" i="5"/>
  <c r="B38" i="5"/>
  <c r="B39" i="5" s="1"/>
  <c r="B34" i="5"/>
  <c r="AK191" i="5"/>
  <c r="AL130" i="5"/>
  <c r="AK7" i="5"/>
  <c r="AL114" i="5"/>
  <c r="AK92" i="5"/>
  <c r="AL59" i="5"/>
  <c r="AL49" i="5"/>
  <c r="AK128" i="5"/>
  <c r="AL171" i="5"/>
  <c r="AL37" i="5"/>
  <c r="AL161" i="5"/>
  <c r="AK195" i="5"/>
  <c r="AK140" i="5"/>
  <c r="AL33" i="5"/>
  <c r="AL163" i="5"/>
  <c r="B96" i="2"/>
  <c r="B100" i="2" s="1"/>
  <c r="B91" i="2"/>
  <c r="B92" i="2" s="1"/>
  <c r="B53" i="2"/>
  <c r="B222" i="2" s="1"/>
  <c r="B70" i="2"/>
  <c r="B79" i="2" s="1"/>
  <c r="B83" i="2" s="1"/>
  <c r="AL104" i="5"/>
  <c r="AK51" i="5"/>
  <c r="AK74" i="5"/>
  <c r="AL47" i="5"/>
  <c r="AL159" i="5"/>
  <c r="AL134" i="5"/>
  <c r="AL34" i="5"/>
  <c r="AL21" i="5"/>
  <c r="AK112" i="5"/>
  <c r="AL28" i="5"/>
  <c r="AL91" i="5"/>
  <c r="B69" i="5"/>
  <c r="AG167" i="5" s="1"/>
  <c r="AL31" i="5"/>
  <c r="AL88" i="5"/>
  <c r="AK35" i="5"/>
  <c r="AL102" i="5"/>
  <c r="AL126" i="5"/>
  <c r="AL75" i="5"/>
  <c r="AL138" i="5"/>
  <c r="AK136" i="5"/>
  <c r="AK96" i="5"/>
  <c r="AK58" i="5"/>
  <c r="AL110" i="5"/>
  <c r="AL155" i="5"/>
  <c r="AL44" i="5"/>
  <c r="AK147" i="5"/>
  <c r="AK120" i="5"/>
  <c r="AL175" i="5"/>
  <c r="AK65" i="5"/>
  <c r="AL53" i="5"/>
  <c r="AL85" i="5"/>
  <c r="AL42" i="5"/>
  <c r="AL32" i="5"/>
  <c r="AL79" i="5"/>
  <c r="AK48" i="5"/>
  <c r="AL90" i="5"/>
  <c r="AL26" i="5"/>
  <c r="AK69" i="5"/>
  <c r="B68" i="5"/>
  <c r="AF11" i="5" s="1"/>
  <c r="K121" i="2"/>
  <c r="O10" i="5"/>
  <c r="AT10" i="5" s="1"/>
  <c r="B74" i="5"/>
  <c r="AM8" i="5"/>
  <c r="AM7" i="5"/>
  <c r="AM13" i="5"/>
  <c r="AM12" i="5"/>
  <c r="AM21" i="5"/>
  <c r="AM23" i="5"/>
  <c r="AM25" i="5"/>
  <c r="AM27" i="5"/>
  <c r="AM29" i="5"/>
  <c r="AM31" i="5"/>
  <c r="AM33" i="5"/>
  <c r="AM35" i="5"/>
  <c r="AM37" i="5"/>
  <c r="AM20" i="5"/>
  <c r="AM24" i="5"/>
  <c r="AM28" i="5"/>
  <c r="AM32" i="5"/>
  <c r="AM36" i="5"/>
  <c r="AM40" i="5"/>
  <c r="AM44" i="5"/>
  <c r="AM22" i="5"/>
  <c r="AM26" i="5"/>
  <c r="AM30" i="5"/>
  <c r="AM34" i="5"/>
  <c r="AM38" i="5"/>
  <c r="AM42" i="5"/>
  <c r="AM49" i="5"/>
  <c r="AM51" i="5"/>
  <c r="AM46" i="5"/>
  <c r="AM52" i="5"/>
  <c r="AM57" i="5"/>
  <c r="AM61" i="5"/>
  <c r="AM65" i="5"/>
  <c r="AM69" i="5"/>
  <c r="AM73" i="5"/>
  <c r="AM88" i="5"/>
  <c r="AM89" i="5"/>
  <c r="AM93" i="5"/>
  <c r="AM99" i="5"/>
  <c r="AM100" i="5"/>
  <c r="AM106" i="5"/>
  <c r="AM109" i="5"/>
  <c r="AM115" i="5"/>
  <c r="AM116" i="5"/>
  <c r="AM122" i="5"/>
  <c r="AM125" i="5"/>
  <c r="AM127" i="5"/>
  <c r="AM130" i="5"/>
  <c r="AM133" i="5"/>
  <c r="AM137" i="5"/>
  <c r="AM138" i="5"/>
  <c r="AM139" i="5"/>
  <c r="AM141" i="5"/>
  <c r="AM142" i="5"/>
  <c r="AM149" i="5"/>
  <c r="AM152" i="5"/>
  <c r="AM157" i="5"/>
  <c r="AM158" i="5"/>
  <c r="AM168" i="5"/>
  <c r="AM171" i="5"/>
  <c r="AM174" i="5"/>
  <c r="AM175" i="5"/>
  <c r="AM177" i="5"/>
  <c r="AM181" i="5"/>
  <c r="AM184" i="5"/>
  <c r="AM187" i="5"/>
  <c r="AM190" i="5"/>
  <c r="AM197" i="5"/>
  <c r="AM47" i="5"/>
  <c r="AM48" i="5"/>
  <c r="AM53" i="5"/>
  <c r="AM59" i="5"/>
  <c r="AM63" i="5"/>
  <c r="AM67" i="5"/>
  <c r="AM71" i="5"/>
  <c r="AM75" i="5"/>
  <c r="AM78" i="5"/>
  <c r="AM80" i="5"/>
  <c r="AM81" i="5"/>
  <c r="AM83" i="5"/>
  <c r="AM86" i="5"/>
  <c r="AM95" i="5"/>
  <c r="AM96" i="5"/>
  <c r="AM102" i="5"/>
  <c r="AM105" i="5"/>
  <c r="AM111" i="5"/>
  <c r="AM112" i="5"/>
  <c r="AM118" i="5"/>
  <c r="AM121" i="5"/>
  <c r="AM129" i="5"/>
  <c r="AM135" i="5"/>
  <c r="AM140" i="5"/>
  <c r="AM143" i="5"/>
  <c r="AM144" i="5"/>
  <c r="AM145" i="5"/>
  <c r="AM147" i="5"/>
  <c r="AM150" i="5"/>
  <c r="AM153" i="5"/>
  <c r="AM154" i="5"/>
  <c r="AM160" i="5"/>
  <c r="AM162" i="5"/>
  <c r="AM167" i="5"/>
  <c r="AM173" i="5"/>
  <c r="AM180" i="5"/>
  <c r="AM43" i="5"/>
  <c r="AM54" i="5"/>
  <c r="AM84" i="5"/>
  <c r="AM92" i="5"/>
  <c r="AM98" i="5"/>
  <c r="AM101" i="5"/>
  <c r="AM107" i="5"/>
  <c r="AM108" i="5"/>
  <c r="AM114" i="5"/>
  <c r="AM117" i="5"/>
  <c r="AM123" i="5"/>
  <c r="AM124" i="5"/>
  <c r="AM131" i="5"/>
  <c r="AM132" i="5"/>
  <c r="AM136" i="5"/>
  <c r="AM148" i="5"/>
  <c r="AM156" i="5"/>
  <c r="AM159" i="5"/>
  <c r="AM161" i="5"/>
  <c r="AM164" i="5"/>
  <c r="AM169" i="5"/>
  <c r="AM170" i="5"/>
  <c r="AM178" i="5"/>
  <c r="AM182" i="5"/>
  <c r="AM189" i="5"/>
  <c r="AM39" i="5"/>
  <c r="AM41" i="5"/>
  <c r="AM45" i="5"/>
  <c r="AM50" i="5"/>
  <c r="AM55" i="5"/>
  <c r="AM56" i="5"/>
  <c r="AM58" i="5"/>
  <c r="AM60" i="5"/>
  <c r="AM62" i="5"/>
  <c r="AM64" i="5"/>
  <c r="AM66" i="5"/>
  <c r="AM68" i="5"/>
  <c r="AM70" i="5"/>
  <c r="AM72" i="5"/>
  <c r="AM74" i="5"/>
  <c r="AM76" i="5"/>
  <c r="AM77" i="5"/>
  <c r="AM79" i="5"/>
  <c r="AM82" i="5"/>
  <c r="AM85" i="5"/>
  <c r="AM87" i="5"/>
  <c r="AM90" i="5"/>
  <c r="AM91" i="5"/>
  <c r="AM94" i="5"/>
  <c r="AM97" i="5"/>
  <c r="AM103" i="5"/>
  <c r="AM104" i="5"/>
  <c r="AM110" i="5"/>
  <c r="AM113" i="5"/>
  <c r="AM119" i="5"/>
  <c r="AM120" i="5"/>
  <c r="AM126" i="5"/>
  <c r="AM128" i="5"/>
  <c r="AM134" i="5"/>
  <c r="AM146" i="5"/>
  <c r="AM151" i="5"/>
  <c r="AM155" i="5"/>
  <c r="AM163" i="5"/>
  <c r="AM165" i="5"/>
  <c r="AM166" i="5"/>
  <c r="AM172" i="5"/>
  <c r="AM176" i="5"/>
  <c r="AM179" i="5"/>
  <c r="AM185" i="5"/>
  <c r="AM188" i="5"/>
  <c r="AM193" i="5"/>
  <c r="AM195" i="5"/>
  <c r="AM205" i="5"/>
  <c r="AM208" i="5"/>
  <c r="AM211" i="5"/>
  <c r="AM214" i="5"/>
  <c r="AM220" i="5"/>
  <c r="AM224" i="5"/>
  <c r="AM230" i="5"/>
  <c r="AM236" i="5"/>
  <c r="AM239" i="5"/>
  <c r="AM242" i="5"/>
  <c r="AM246" i="5"/>
  <c r="AM250" i="5"/>
  <c r="AM256" i="5"/>
  <c r="AM259" i="5"/>
  <c r="AM261" i="5"/>
  <c r="AM265" i="5"/>
  <c r="AM269" i="5"/>
  <c r="AM273" i="5"/>
  <c r="AM277" i="5"/>
  <c r="AM281" i="5"/>
  <c r="AM285" i="5"/>
  <c r="AM289" i="5"/>
  <c r="AM293" i="5"/>
  <c r="AM295" i="5"/>
  <c r="AM302" i="5"/>
  <c r="AM304" i="5"/>
  <c r="AM308" i="5"/>
  <c r="AM310" i="5"/>
  <c r="AM313" i="5"/>
  <c r="AM316" i="5"/>
  <c r="AM318" i="5"/>
  <c r="AM321" i="5"/>
  <c r="AM323" i="5"/>
  <c r="AM335" i="5"/>
  <c r="AM338" i="5"/>
  <c r="AM340" i="5"/>
  <c r="AM341" i="5"/>
  <c r="AM351" i="5"/>
  <c r="AM354" i="5"/>
  <c r="AM356" i="5"/>
  <c r="AM359" i="5"/>
  <c r="AM361" i="5"/>
  <c r="AM366" i="5"/>
  <c r="AM368" i="5"/>
  <c r="AM371" i="5"/>
  <c r="AM373" i="5"/>
  <c r="AM377" i="5"/>
  <c r="AM382" i="5"/>
  <c r="AM383" i="5"/>
  <c r="AM386" i="5"/>
  <c r="AM389" i="5"/>
  <c r="AM396" i="5"/>
  <c r="AM401" i="5"/>
  <c r="AM407" i="5"/>
  <c r="AM408" i="5"/>
  <c r="AM414" i="5"/>
  <c r="AM417" i="5"/>
  <c r="AM423" i="5"/>
  <c r="AM424" i="5"/>
  <c r="AM430" i="5"/>
  <c r="AM433" i="5"/>
  <c r="AM439" i="5"/>
  <c r="AM440" i="5"/>
  <c r="AM186" i="5"/>
  <c r="AM191" i="5"/>
  <c r="AM198" i="5"/>
  <c r="AM201" i="5"/>
  <c r="AM204" i="5"/>
  <c r="AM207" i="5"/>
  <c r="AM210" i="5"/>
  <c r="AM217" i="5"/>
  <c r="AM219" i="5"/>
  <c r="AM222" i="5"/>
  <c r="AM228" i="5"/>
  <c r="AM231" i="5"/>
  <c r="AM233" i="5"/>
  <c r="AM245" i="5"/>
  <c r="AM248" i="5"/>
  <c r="AM249" i="5"/>
  <c r="AM252" i="5"/>
  <c r="AM255" i="5"/>
  <c r="AM263" i="5"/>
  <c r="AM267" i="5"/>
  <c r="AM271" i="5"/>
  <c r="AM275" i="5"/>
  <c r="AM279" i="5"/>
  <c r="AM283" i="5"/>
  <c r="AM287" i="5"/>
  <c r="AM291" i="5"/>
  <c r="AM298" i="5"/>
  <c r="AM300" i="5"/>
  <c r="AM305" i="5"/>
  <c r="AM307" i="5"/>
  <c r="AM315" i="5"/>
  <c r="AM322" i="5"/>
  <c r="AM329" i="5"/>
  <c r="AM330" i="5"/>
  <c r="AM331" i="5"/>
  <c r="AM333" i="5"/>
  <c r="AM334" i="5"/>
  <c r="AM336" i="5"/>
  <c r="AM337" i="5"/>
  <c r="AM347" i="5"/>
  <c r="AM350" i="5"/>
  <c r="AM352" i="5"/>
  <c r="AM353" i="5"/>
  <c r="AM358" i="5"/>
  <c r="AM360" i="5"/>
  <c r="AM363" i="5"/>
  <c r="AM370" i="5"/>
  <c r="AM372" i="5"/>
  <c r="AM375" i="5"/>
  <c r="AM381" i="5"/>
  <c r="AM384" i="5"/>
  <c r="AM385" i="5"/>
  <c r="AM391" i="5"/>
  <c r="AM392" i="5"/>
  <c r="AM393" i="5"/>
  <c r="AM395" i="5"/>
  <c r="AM397" i="5"/>
  <c r="AM403" i="5"/>
  <c r="AM404" i="5"/>
  <c r="AM410" i="5"/>
  <c r="AM413" i="5"/>
  <c r="AM419" i="5"/>
  <c r="AM420" i="5"/>
  <c r="AM426" i="5"/>
  <c r="AM429" i="5"/>
  <c r="AM435" i="5"/>
  <c r="AM436" i="5"/>
  <c r="AM442" i="5"/>
  <c r="AM445" i="5"/>
  <c r="AM468" i="5"/>
  <c r="AM470" i="5"/>
  <c r="AM475" i="5"/>
  <c r="AM477" i="5"/>
  <c r="AM484" i="5"/>
  <c r="AM486" i="5"/>
  <c r="AM192" i="5"/>
  <c r="AM194" i="5"/>
  <c r="AM196" i="5"/>
  <c r="AM200" i="5"/>
  <c r="AM203" i="5"/>
  <c r="AM206" i="5"/>
  <c r="AM213" i="5"/>
  <c r="AM216" i="5"/>
  <c r="AM223" i="5"/>
  <c r="AM225" i="5"/>
  <c r="AM234" i="5"/>
  <c r="AM235" i="5"/>
  <c r="AM237" i="5"/>
  <c r="AM244" i="5"/>
  <c r="AM247" i="5"/>
  <c r="AM251" i="5"/>
  <c r="AM257" i="5"/>
  <c r="AM258" i="5"/>
  <c r="AM294" i="5"/>
  <c r="AM296" i="5"/>
  <c r="AM301" i="5"/>
  <c r="AM303" i="5"/>
  <c r="AM309" i="5"/>
  <c r="AM312" i="5"/>
  <c r="AM314" i="5"/>
  <c r="AM317" i="5"/>
  <c r="AM320" i="5"/>
  <c r="AM324" i="5"/>
  <c r="AM325" i="5"/>
  <c r="AM327" i="5"/>
  <c r="AM343" i="5"/>
  <c r="AM346" i="5"/>
  <c r="AM348" i="5"/>
  <c r="AM349" i="5"/>
  <c r="AM362" i="5"/>
  <c r="AM364" i="5"/>
  <c r="AM365" i="5"/>
  <c r="AM374" i="5"/>
  <c r="AM376" i="5"/>
  <c r="AM378" i="5"/>
  <c r="AM379" i="5"/>
  <c r="AM388" i="5"/>
  <c r="AM390" i="5"/>
  <c r="AM399" i="5"/>
  <c r="AM400" i="5"/>
  <c r="AM406" i="5"/>
  <c r="AM409" i="5"/>
  <c r="AM415" i="5"/>
  <c r="AM416" i="5"/>
  <c r="AM422" i="5"/>
  <c r="AM425" i="5"/>
  <c r="AM431" i="5"/>
  <c r="AM432" i="5"/>
  <c r="AM438" i="5"/>
  <c r="AM441" i="5"/>
  <c r="AM447" i="5"/>
  <c r="AM448" i="5"/>
  <c r="AM450" i="5"/>
  <c r="AM183" i="5"/>
  <c r="AM199" i="5"/>
  <c r="AM202" i="5"/>
  <c r="AM209" i="5"/>
  <c r="AM212" i="5"/>
  <c r="AM215" i="5"/>
  <c r="AM218" i="5"/>
  <c r="AM221" i="5"/>
  <c r="AM226" i="5"/>
  <c r="AM227" i="5"/>
  <c r="AM229" i="5"/>
  <c r="AM232" i="5"/>
  <c r="AM238" i="5"/>
  <c r="AM240" i="5"/>
  <c r="AM241" i="5"/>
  <c r="AM243" i="5"/>
  <c r="AM253" i="5"/>
  <c r="AM254" i="5"/>
  <c r="AM260" i="5"/>
  <c r="AM262" i="5"/>
  <c r="AM264" i="5"/>
  <c r="AM266" i="5"/>
  <c r="AM268" i="5"/>
  <c r="AM270" i="5"/>
  <c r="AM272" i="5"/>
  <c r="AM274" i="5"/>
  <c r="AM276" i="5"/>
  <c r="AM278" i="5"/>
  <c r="AM280" i="5"/>
  <c r="AM282" i="5"/>
  <c r="AM284" i="5"/>
  <c r="AM286" i="5"/>
  <c r="AM288" i="5"/>
  <c r="AM290" i="5"/>
  <c r="AM292" i="5"/>
  <c r="AM297" i="5"/>
  <c r="AM299" i="5"/>
  <c r="AM306" i="5"/>
  <c r="AM311" i="5"/>
  <c r="AM319" i="5"/>
  <c r="AM326" i="5"/>
  <c r="AM328" i="5"/>
  <c r="AM332" i="5"/>
  <c r="AM339" i="5"/>
  <c r="AM342" i="5"/>
  <c r="AM344" i="5"/>
  <c r="AM345" i="5"/>
  <c r="AM355" i="5"/>
  <c r="AM357" i="5"/>
  <c r="AM367" i="5"/>
  <c r="AM369" i="5"/>
  <c r="AM380" i="5"/>
  <c r="AM387" i="5"/>
  <c r="AM394" i="5"/>
  <c r="AM398" i="5"/>
  <c r="AM402" i="5"/>
  <c r="AM405" i="5"/>
  <c r="AM411" i="5"/>
  <c r="AM412" i="5"/>
  <c r="AM418" i="5"/>
  <c r="AM421" i="5"/>
  <c r="AM427" i="5"/>
  <c r="AM428" i="5"/>
  <c r="AM434" i="5"/>
  <c r="AM437" i="5"/>
  <c r="AM443" i="5"/>
  <c r="AM444" i="5"/>
  <c r="AM451" i="5"/>
  <c r="AM455" i="5"/>
  <c r="AM459" i="5"/>
  <c r="AM463" i="5"/>
  <c r="AM467" i="5"/>
  <c r="AM469" i="5"/>
  <c r="AM476" i="5"/>
  <c r="AM478" i="5"/>
  <c r="AM483" i="5"/>
  <c r="AM485" i="5"/>
  <c r="AM474" i="5"/>
  <c r="AM489" i="5"/>
  <c r="AM496" i="5"/>
  <c r="AM498" i="5"/>
  <c r="AM499" i="5"/>
  <c r="AM501" i="5"/>
  <c r="AM504" i="5"/>
  <c r="AM507" i="5"/>
  <c r="AM518" i="5"/>
  <c r="AM526" i="5"/>
  <c r="AM527" i="5"/>
  <c r="AM529" i="5"/>
  <c r="AM534" i="5"/>
  <c r="AM537" i="5"/>
  <c r="AM540" i="5"/>
  <c r="AM542" i="5"/>
  <c r="AM543" i="5"/>
  <c r="AM553" i="5"/>
  <c r="AM19" i="5"/>
  <c r="AM452" i="5"/>
  <c r="AM453" i="5"/>
  <c r="AM456" i="5"/>
  <c r="AM457" i="5"/>
  <c r="AM460" i="5"/>
  <c r="AM461" i="5"/>
  <c r="AM464" i="5"/>
  <c r="AM465" i="5"/>
  <c r="AM479" i="5"/>
  <c r="AM480" i="5"/>
  <c r="AM481" i="5"/>
  <c r="AM492" i="5"/>
  <c r="AM494" i="5"/>
  <c r="AM502" i="5"/>
  <c r="AM508" i="5"/>
  <c r="AM510" i="5"/>
  <c r="AM511" i="5"/>
  <c r="AM513" i="5"/>
  <c r="AM514" i="5"/>
  <c r="AM521" i="5"/>
  <c r="AM522" i="5"/>
  <c r="AM528" i="5"/>
  <c r="AM530" i="5"/>
  <c r="AM536" i="5"/>
  <c r="AM538" i="5"/>
  <c r="AM539" i="5"/>
  <c r="AM552" i="5"/>
  <c r="AM555" i="5"/>
  <c r="AM446" i="5"/>
  <c r="AM454" i="5"/>
  <c r="AM458" i="5"/>
  <c r="AM462" i="5"/>
  <c r="AM466" i="5"/>
  <c r="AM482" i="5"/>
  <c r="AM490" i="5"/>
  <c r="AM495" i="5"/>
  <c r="AM497" i="5"/>
  <c r="AM500" i="5"/>
  <c r="AM503" i="5"/>
  <c r="AM505" i="5"/>
  <c r="AM512" i="5"/>
  <c r="AM517" i="5"/>
  <c r="AM519" i="5"/>
  <c r="AM523" i="5"/>
  <c r="AM525" i="5"/>
  <c r="AM531" i="5"/>
  <c r="AM532" i="5"/>
  <c r="AM533" i="5"/>
  <c r="AM535" i="5"/>
  <c r="AM545" i="5"/>
  <c r="AM548" i="5"/>
  <c r="AM550" i="5"/>
  <c r="AM551" i="5"/>
  <c r="AM559" i="5"/>
  <c r="AM449" i="5"/>
  <c r="AM471" i="5"/>
  <c r="AM472" i="5"/>
  <c r="AM473" i="5"/>
  <c r="AM487" i="5"/>
  <c r="AM488" i="5"/>
  <c r="AM491" i="5"/>
  <c r="AM493" i="5"/>
  <c r="AM506" i="5"/>
  <c r="AM509" i="5"/>
  <c r="AM515" i="5"/>
  <c r="AM516" i="5"/>
  <c r="AM520" i="5"/>
  <c r="AM524" i="5"/>
  <c r="AM541" i="5"/>
  <c r="AM544" i="5"/>
  <c r="AM546" i="5"/>
  <c r="AM547" i="5"/>
  <c r="AM557" i="5"/>
  <c r="AM560" i="5"/>
  <c r="AM556" i="5"/>
  <c r="AM558" i="5"/>
  <c r="AM549" i="5"/>
  <c r="AM554" i="5"/>
  <c r="B216" i="2"/>
  <c r="B36" i="2"/>
  <c r="H15" i="1"/>
  <c r="B21" i="2"/>
  <c r="H19" i="1" s="1"/>
  <c r="U7" i="5"/>
  <c r="BE7" i="5"/>
  <c r="BD7" i="5"/>
  <c r="Q12" i="5"/>
  <c r="S12" i="5" s="1"/>
  <c r="B36" i="5"/>
  <c r="B263" i="2"/>
  <c r="T17" i="4"/>
  <c r="T22" i="4"/>
  <c r="T25" i="4"/>
  <c r="T30" i="4"/>
  <c r="T33" i="4"/>
  <c r="T38" i="4"/>
  <c r="T41" i="4"/>
  <c r="T43" i="4"/>
  <c r="T45" i="4"/>
  <c r="T47" i="4"/>
  <c r="T49" i="4"/>
  <c r="T51" i="4"/>
  <c r="T53" i="4"/>
  <c r="T55" i="4"/>
  <c r="T57" i="4"/>
  <c r="T59" i="4"/>
  <c r="T61" i="4"/>
  <c r="T63" i="4"/>
  <c r="T65" i="4"/>
  <c r="T67" i="4"/>
  <c r="T69" i="4"/>
  <c r="T71" i="4"/>
  <c r="T73" i="4"/>
  <c r="T75" i="4"/>
  <c r="T77" i="4"/>
  <c r="T79" i="4"/>
  <c r="T81" i="4"/>
  <c r="T83" i="4"/>
  <c r="T85" i="4"/>
  <c r="T87" i="4"/>
  <c r="T89" i="4"/>
  <c r="T91" i="4"/>
  <c r="T93" i="4"/>
  <c r="T95" i="4"/>
  <c r="T97" i="4"/>
  <c r="T99" i="4"/>
  <c r="T101" i="4"/>
  <c r="T103" i="4"/>
  <c r="T105" i="4"/>
  <c r="T107" i="4"/>
  <c r="T109" i="4"/>
  <c r="T111" i="4"/>
  <c r="T113" i="4"/>
  <c r="T115" i="4"/>
  <c r="T117" i="4"/>
  <c r="T119" i="4"/>
  <c r="T121" i="4"/>
  <c r="T123" i="4"/>
  <c r="T125" i="4"/>
  <c r="T127" i="4"/>
  <c r="T129" i="4"/>
  <c r="T131" i="4"/>
  <c r="T133" i="4"/>
  <c r="T135" i="4"/>
  <c r="T137" i="4"/>
  <c r="T139" i="4"/>
  <c r="T141" i="4"/>
  <c r="T143" i="4"/>
  <c r="T145" i="4"/>
  <c r="T147" i="4"/>
  <c r="T149" i="4"/>
  <c r="T151" i="4"/>
  <c r="T153" i="4"/>
  <c r="T155" i="4"/>
  <c r="T157" i="4"/>
  <c r="T9" i="4"/>
  <c r="T11" i="4"/>
  <c r="T13" i="4"/>
  <c r="T19" i="4"/>
  <c r="T23" i="4"/>
  <c r="T26" i="4"/>
  <c r="T37" i="4"/>
  <c r="T40" i="4"/>
  <c r="T46" i="4"/>
  <c r="T54" i="4"/>
  <c r="T62" i="4"/>
  <c r="T70" i="4"/>
  <c r="T78" i="4"/>
  <c r="T86" i="4"/>
  <c r="T94" i="4"/>
  <c r="T102" i="4"/>
  <c r="T110" i="4"/>
  <c r="T118" i="4"/>
  <c r="T126" i="4"/>
  <c r="T134" i="4"/>
  <c r="T142" i="4"/>
  <c r="T150" i="4"/>
  <c r="T8" i="4"/>
  <c r="T16" i="4"/>
  <c r="T20" i="4"/>
  <c r="T27" i="4"/>
  <c r="T31" i="4"/>
  <c r="T34" i="4"/>
  <c r="T44" i="4"/>
  <c r="T52" i="4"/>
  <c r="T60" i="4"/>
  <c r="T68" i="4"/>
  <c r="T76" i="4"/>
  <c r="T84" i="4"/>
  <c r="T92" i="4"/>
  <c r="T100" i="4"/>
  <c r="T108" i="4"/>
  <c r="T116" i="4"/>
  <c r="T124" i="4"/>
  <c r="T132" i="4"/>
  <c r="T140" i="4"/>
  <c r="T148" i="4"/>
  <c r="T156" i="4"/>
  <c r="T14" i="4"/>
  <c r="T21" i="4"/>
  <c r="T24" i="4"/>
  <c r="T28" i="4"/>
  <c r="T35" i="4"/>
  <c r="T39" i="4"/>
  <c r="T42" i="4"/>
  <c r="T50" i="4"/>
  <c r="T58" i="4"/>
  <c r="T66" i="4"/>
  <c r="T74" i="4"/>
  <c r="T82" i="4"/>
  <c r="T90" i="4"/>
  <c r="T98" i="4"/>
  <c r="T106" i="4"/>
  <c r="T114" i="4"/>
  <c r="T122" i="4"/>
  <c r="T130" i="4"/>
  <c r="T138" i="4"/>
  <c r="T146" i="4"/>
  <c r="T154" i="4"/>
  <c r="T12" i="4"/>
  <c r="T15" i="4"/>
  <c r="T18" i="4"/>
  <c r="T29" i="4"/>
  <c r="T32" i="4"/>
  <c r="T36" i="4"/>
  <c r="T48" i="4"/>
  <c r="T56" i="4"/>
  <c r="T64" i="4"/>
  <c r="T72" i="4"/>
  <c r="T80" i="4"/>
  <c r="T88" i="4"/>
  <c r="T96" i="4"/>
  <c r="T104" i="4"/>
  <c r="T112" i="4"/>
  <c r="T120" i="4"/>
  <c r="T128" i="4"/>
  <c r="T136" i="4"/>
  <c r="T144" i="4"/>
  <c r="T152" i="4"/>
  <c r="T10" i="4"/>
  <c r="S15" i="4"/>
  <c r="AS15" i="4" s="1"/>
  <c r="S63" i="4"/>
  <c r="S64" i="4"/>
  <c r="AS64" i="4" s="1"/>
  <c r="S16" i="4"/>
  <c r="S17" i="4"/>
  <c r="S18" i="4"/>
  <c r="AS18" i="4" s="1"/>
  <c r="S19" i="4"/>
  <c r="S20" i="4"/>
  <c r="S21" i="4"/>
  <c r="S22" i="4"/>
  <c r="S23" i="4"/>
  <c r="S24" i="4"/>
  <c r="AS24" i="4" s="1"/>
  <c r="S25" i="4"/>
  <c r="AS25" i="4" s="1"/>
  <c r="S26" i="4"/>
  <c r="AS26" i="4" s="1"/>
  <c r="S27" i="4"/>
  <c r="AS27" i="4" s="1"/>
  <c r="S28" i="4"/>
  <c r="S29" i="4"/>
  <c r="S30" i="4"/>
  <c r="S31" i="4"/>
  <c r="S32" i="4"/>
  <c r="S33" i="4"/>
  <c r="S34" i="4"/>
  <c r="S35" i="4"/>
  <c r="AS35" i="4" s="1"/>
  <c r="S36" i="4"/>
  <c r="AS36" i="4" s="1"/>
  <c r="S37" i="4"/>
  <c r="AS37" i="4" s="1"/>
  <c r="S38" i="4"/>
  <c r="AS38" i="4" s="1"/>
  <c r="S39" i="4"/>
  <c r="S40" i="4"/>
  <c r="AS40" i="4" s="1"/>
  <c r="S41" i="4"/>
  <c r="S42" i="4"/>
  <c r="S43" i="4"/>
  <c r="S44" i="4"/>
  <c r="S45" i="4"/>
  <c r="S46" i="4"/>
  <c r="S47" i="4"/>
  <c r="AS47" i="4" s="1"/>
  <c r="S48" i="4"/>
  <c r="AS48" i="4" s="1"/>
  <c r="S49" i="4"/>
  <c r="AS49" i="4" s="1"/>
  <c r="S50" i="4"/>
  <c r="S51" i="4"/>
  <c r="AS51" i="4" s="1"/>
  <c r="S52" i="4"/>
  <c r="S53" i="4"/>
  <c r="S54" i="4"/>
  <c r="S55" i="4"/>
  <c r="S56" i="4"/>
  <c r="AS56" i="4" s="1"/>
  <c r="S57" i="4"/>
  <c r="S58" i="4"/>
  <c r="S60" i="4"/>
  <c r="AS60" i="4" s="1"/>
  <c r="S67" i="4"/>
  <c r="AS67" i="4" s="1"/>
  <c r="S62" i="4"/>
  <c r="S69" i="4"/>
  <c r="AS69" i="4" s="1"/>
  <c r="S87" i="4"/>
  <c r="AS87" i="4" s="1"/>
  <c r="S99" i="4"/>
  <c r="S120" i="4"/>
  <c r="AS120" i="4" s="1"/>
  <c r="S130" i="4"/>
  <c r="S134" i="4"/>
  <c r="S68" i="4"/>
  <c r="S74" i="4"/>
  <c r="S78" i="4"/>
  <c r="S82" i="4"/>
  <c r="AS82" i="4" s="1"/>
  <c r="S86" i="4"/>
  <c r="AS86" i="4" s="1"/>
  <c r="S90" i="4"/>
  <c r="S94" i="4"/>
  <c r="AS94" i="4" s="1"/>
  <c r="S98" i="4"/>
  <c r="S102" i="4"/>
  <c r="S109" i="4"/>
  <c r="AS109" i="4" s="1"/>
  <c r="S110" i="4"/>
  <c r="S119" i="4"/>
  <c r="AS119" i="4" s="1"/>
  <c r="S128" i="4"/>
  <c r="S137" i="4"/>
  <c r="S59" i="4"/>
  <c r="S65" i="4"/>
  <c r="AS65" i="4" s="1"/>
  <c r="S66" i="4"/>
  <c r="S71" i="4"/>
  <c r="S72" i="4"/>
  <c r="AS72" i="4" s="1"/>
  <c r="S76" i="4"/>
  <c r="AS76" i="4" s="1"/>
  <c r="S80" i="4"/>
  <c r="AS80" i="4" s="1"/>
  <c r="S84" i="4"/>
  <c r="S88" i="4"/>
  <c r="S92" i="4"/>
  <c r="S96" i="4"/>
  <c r="S100" i="4"/>
  <c r="S105" i="4"/>
  <c r="S106" i="4"/>
  <c r="S112" i="4"/>
  <c r="AS112" i="4" s="1"/>
  <c r="S121" i="4"/>
  <c r="AS121" i="4" s="1"/>
  <c r="S122" i="4"/>
  <c r="AS122" i="4" s="1"/>
  <c r="S123" i="4"/>
  <c r="AS123" i="4" s="1"/>
  <c r="S124" i="4"/>
  <c r="AS124" i="4" s="1"/>
  <c r="S125" i="4"/>
  <c r="AS125" i="4" s="1"/>
  <c r="S126" i="4"/>
  <c r="S135" i="4"/>
  <c r="S139" i="4"/>
  <c r="S140" i="4"/>
  <c r="S144" i="4"/>
  <c r="S149" i="4"/>
  <c r="AS149" i="4" s="1"/>
  <c r="S153" i="4"/>
  <c r="AS153" i="4" s="1"/>
  <c r="S8" i="4"/>
  <c r="S61" i="4"/>
  <c r="AS61" i="4" s="1"/>
  <c r="S70" i="4"/>
  <c r="AS70" i="4" s="1"/>
  <c r="S75" i="4"/>
  <c r="AS75" i="4" s="1"/>
  <c r="S79" i="4"/>
  <c r="AS79" i="4" s="1"/>
  <c r="S83" i="4"/>
  <c r="S91" i="4"/>
  <c r="S95" i="4"/>
  <c r="S103" i="4"/>
  <c r="S104" i="4"/>
  <c r="S111" i="4"/>
  <c r="S129" i="4"/>
  <c r="AS129" i="4" s="1"/>
  <c r="S131" i="4"/>
  <c r="AS131" i="4" s="1"/>
  <c r="S132" i="4"/>
  <c r="S133" i="4"/>
  <c r="AS133" i="4" s="1"/>
  <c r="S77" i="4"/>
  <c r="AS77" i="4" s="1"/>
  <c r="S93" i="4"/>
  <c r="S107" i="4"/>
  <c r="S115" i="4"/>
  <c r="S127" i="4"/>
  <c r="S136" i="4"/>
  <c r="S142" i="4"/>
  <c r="S145" i="4"/>
  <c r="AS145" i="4" s="1"/>
  <c r="S156" i="4"/>
  <c r="S9" i="4"/>
  <c r="AS9" i="4" s="1"/>
  <c r="S10" i="4"/>
  <c r="AS10" i="4" s="1"/>
  <c r="S81" i="4"/>
  <c r="S97" i="4"/>
  <c r="S114" i="4"/>
  <c r="S118" i="4"/>
  <c r="S138" i="4"/>
  <c r="S141" i="4"/>
  <c r="S152" i="4"/>
  <c r="S155" i="4"/>
  <c r="S13" i="4"/>
  <c r="AS13" i="4" s="1"/>
  <c r="S14" i="4"/>
  <c r="AS14" i="4" s="1"/>
  <c r="S85" i="4"/>
  <c r="AS85" i="4" s="1"/>
  <c r="S101" i="4"/>
  <c r="AS101" i="4" s="1"/>
  <c r="S113" i="4"/>
  <c r="S117" i="4"/>
  <c r="AS117" i="4" s="1"/>
  <c r="S147" i="4"/>
  <c r="S148" i="4"/>
  <c r="S151" i="4"/>
  <c r="AS151" i="4" s="1"/>
  <c r="S154" i="4"/>
  <c r="AS154" i="4" s="1"/>
  <c r="S12" i="4"/>
  <c r="AS12" i="4" s="1"/>
  <c r="S73" i="4"/>
  <c r="S89" i="4"/>
  <c r="AS89" i="4" s="1"/>
  <c r="S108" i="4"/>
  <c r="AS108" i="4" s="1"/>
  <c r="S116" i="4"/>
  <c r="AS116" i="4" s="1"/>
  <c r="S143" i="4"/>
  <c r="AS143" i="4" s="1"/>
  <c r="S146" i="4"/>
  <c r="AS146" i="4" s="1"/>
  <c r="S150" i="4"/>
  <c r="S157" i="4"/>
  <c r="AS157" i="4" s="1"/>
  <c r="S11" i="4"/>
  <c r="AS11" i="4" s="1"/>
  <c r="P15" i="5"/>
  <c r="T7" i="4"/>
  <c r="O9" i="4"/>
  <c r="S7" i="4"/>
  <c r="AJ7" i="4" s="1"/>
  <c r="V8" i="5"/>
  <c r="BD8" i="5"/>
  <c r="AY13" i="5"/>
  <c r="AX13" i="5"/>
  <c r="Q8" i="5"/>
  <c r="R8" i="5" s="1"/>
  <c r="BA12" i="5"/>
  <c r="BB12" i="5"/>
  <c r="AV13" i="5"/>
  <c r="AU13" i="5"/>
  <c r="BC13" i="5"/>
  <c r="U13" i="5"/>
  <c r="V13" i="5"/>
  <c r="AV12" i="5"/>
  <c r="AU12" i="5"/>
  <c r="BC12" i="5"/>
  <c r="U12" i="5"/>
  <c r="V12" i="5"/>
  <c r="BB13" i="5"/>
  <c r="BA13" i="5"/>
  <c r="AX12" i="5"/>
  <c r="AY12" i="5"/>
  <c r="Q13" i="5"/>
  <c r="B45" i="5"/>
  <c r="B48" i="5" s="1"/>
  <c r="BE57" i="5"/>
  <c r="BD57" i="5"/>
  <c r="BE101" i="5"/>
  <c r="BD101" i="5"/>
  <c r="BE116" i="5"/>
  <c r="BD116" i="5"/>
  <c r="BD245" i="5"/>
  <c r="BE245" i="5"/>
  <c r="BE244" i="5"/>
  <c r="BD244" i="5"/>
  <c r="BD406" i="5"/>
  <c r="BE406" i="5"/>
  <c r="BD419" i="5"/>
  <c r="BE419" i="5"/>
  <c r="BE448" i="5"/>
  <c r="BD448" i="5"/>
  <c r="BE540" i="5"/>
  <c r="BD540" i="5"/>
  <c r="BD19" i="5"/>
  <c r="BE19" i="5"/>
  <c r="BE425" i="5"/>
  <c r="BD425" i="5"/>
  <c r="BE49" i="5"/>
  <c r="BD49" i="5"/>
  <c r="BE145" i="5"/>
  <c r="BD145" i="5"/>
  <c r="BE155" i="5"/>
  <c r="BD155" i="5"/>
  <c r="BD254" i="5"/>
  <c r="BE254" i="5"/>
  <c r="BD349" i="5"/>
  <c r="BE349" i="5"/>
  <c r="BD371" i="5"/>
  <c r="BE371" i="5"/>
  <c r="BD435" i="5"/>
  <c r="BE435" i="5"/>
  <c r="BE543" i="5"/>
  <c r="BD543" i="5"/>
  <c r="BD486" i="5"/>
  <c r="BE486" i="5"/>
  <c r="V547" i="5"/>
  <c r="U547" i="5"/>
  <c r="V497" i="5"/>
  <c r="U497" i="5"/>
  <c r="V539" i="5"/>
  <c r="U539" i="5"/>
  <c r="V560" i="5"/>
  <c r="U560" i="5"/>
  <c r="U473" i="5"/>
  <c r="V473" i="5"/>
  <c r="U401" i="5"/>
  <c r="V401" i="5"/>
  <c r="U503" i="5"/>
  <c r="V503" i="5"/>
  <c r="U454" i="5"/>
  <c r="V454" i="5"/>
  <c r="V339" i="5"/>
  <c r="U339" i="5"/>
  <c r="U472" i="5"/>
  <c r="V472" i="5"/>
  <c r="V287" i="5"/>
  <c r="U287" i="5"/>
  <c r="V379" i="5"/>
  <c r="U379" i="5"/>
  <c r="U162" i="5"/>
  <c r="V162" i="5"/>
  <c r="U437" i="5"/>
  <c r="V437" i="5"/>
  <c r="U393" i="5"/>
  <c r="V393" i="5"/>
  <c r="U312" i="5"/>
  <c r="V312" i="5"/>
  <c r="V310" i="5"/>
  <c r="U310" i="5"/>
  <c r="U269" i="5"/>
  <c r="V269" i="5"/>
  <c r="V313" i="5"/>
  <c r="U313" i="5"/>
  <c r="U250" i="5"/>
  <c r="V250" i="5"/>
  <c r="U279" i="5"/>
  <c r="V279" i="5"/>
  <c r="U252" i="5"/>
  <c r="V252" i="5"/>
  <c r="U221" i="5"/>
  <c r="V221" i="5"/>
  <c r="U222" i="5"/>
  <c r="V222" i="5"/>
  <c r="V239" i="5"/>
  <c r="U239" i="5"/>
  <c r="V188" i="5"/>
  <c r="U188" i="5"/>
  <c r="V183" i="5"/>
  <c r="U183" i="5"/>
  <c r="V169" i="5"/>
  <c r="U169" i="5"/>
  <c r="V134" i="5"/>
  <c r="U134" i="5"/>
  <c r="V151" i="5"/>
  <c r="U151" i="5"/>
  <c r="U155" i="5"/>
  <c r="V155" i="5"/>
  <c r="U91" i="5"/>
  <c r="V91" i="5"/>
  <c r="U98" i="5"/>
  <c r="V98" i="5"/>
  <c r="V57" i="5"/>
  <c r="U57" i="5"/>
  <c r="U56" i="5"/>
  <c r="V56" i="5"/>
  <c r="U43" i="5"/>
  <c r="V43" i="5"/>
  <c r="V32" i="5"/>
  <c r="U32" i="5"/>
  <c r="BE454" i="5"/>
  <c r="BD454" i="5"/>
  <c r="BE528" i="5"/>
  <c r="BD528" i="5"/>
  <c r="BD35" i="5"/>
  <c r="BE35" i="5"/>
  <c r="BE83" i="5"/>
  <c r="BD83" i="5"/>
  <c r="BD163" i="5"/>
  <c r="BE163" i="5"/>
  <c r="BE224" i="5"/>
  <c r="BD224" i="5"/>
  <c r="BD322" i="5"/>
  <c r="BE322" i="5"/>
  <c r="BD291" i="5"/>
  <c r="BE291" i="5"/>
  <c r="BD433" i="5"/>
  <c r="BE433" i="5"/>
  <c r="BD431" i="5"/>
  <c r="BE431" i="5"/>
  <c r="BE515" i="5"/>
  <c r="BD515" i="5"/>
  <c r="BE546" i="5"/>
  <c r="BD546" i="5"/>
  <c r="BD34" i="5"/>
  <c r="BE34" i="5"/>
  <c r="BE100" i="5"/>
  <c r="BD100" i="5"/>
  <c r="BD218" i="5"/>
  <c r="BE218" i="5"/>
  <c r="BE273" i="5"/>
  <c r="BD273" i="5"/>
  <c r="BD299" i="5"/>
  <c r="BE299" i="5"/>
  <c r="BE436" i="5"/>
  <c r="BD436" i="5"/>
  <c r="BE474" i="5"/>
  <c r="BD474" i="5"/>
  <c r="BD495" i="5"/>
  <c r="BE495" i="5"/>
  <c r="BD37" i="5"/>
  <c r="BE37" i="5"/>
  <c r="BE178" i="5"/>
  <c r="BD178" i="5"/>
  <c r="BD232" i="5"/>
  <c r="BE232" i="5"/>
  <c r="BD318" i="5"/>
  <c r="BE318" i="5"/>
  <c r="BD405" i="5"/>
  <c r="BE405" i="5"/>
  <c r="BD434" i="5"/>
  <c r="BE434" i="5"/>
  <c r="BE392" i="5"/>
  <c r="BD392" i="5"/>
  <c r="BD461" i="5"/>
  <c r="BE461" i="5"/>
  <c r="BE46" i="5"/>
  <c r="BD46" i="5"/>
  <c r="BD76" i="5"/>
  <c r="BE76" i="5"/>
  <c r="BD132" i="5"/>
  <c r="BE132" i="5"/>
  <c r="BE179" i="5"/>
  <c r="BD179" i="5"/>
  <c r="BD188" i="5"/>
  <c r="BE188" i="5"/>
  <c r="BE309" i="5"/>
  <c r="BD309" i="5"/>
  <c r="BE174" i="5"/>
  <c r="BD174" i="5"/>
  <c r="BE391" i="5"/>
  <c r="BD391" i="5"/>
  <c r="BE369" i="5"/>
  <c r="BD369" i="5"/>
  <c r="BD469" i="5"/>
  <c r="BE469" i="5"/>
  <c r="BD554" i="5"/>
  <c r="BE554" i="5"/>
  <c r="U469" i="5"/>
  <c r="V469" i="5"/>
  <c r="U524" i="5"/>
  <c r="V524" i="5"/>
  <c r="V545" i="5"/>
  <c r="U545" i="5"/>
  <c r="V344" i="5"/>
  <c r="U344" i="5"/>
  <c r="U486" i="5"/>
  <c r="V486" i="5"/>
  <c r="U422" i="5"/>
  <c r="V422" i="5"/>
  <c r="U522" i="5"/>
  <c r="V522" i="5"/>
  <c r="U474" i="5"/>
  <c r="V474" i="5"/>
  <c r="U427" i="5"/>
  <c r="V427" i="5"/>
  <c r="V491" i="5"/>
  <c r="U491" i="5"/>
  <c r="U432" i="5"/>
  <c r="V432" i="5"/>
  <c r="V370" i="5"/>
  <c r="U370" i="5"/>
  <c r="U417" i="5"/>
  <c r="V417" i="5"/>
  <c r="U404" i="5"/>
  <c r="V404" i="5"/>
  <c r="U388" i="5"/>
  <c r="V388" i="5"/>
  <c r="V336" i="5"/>
  <c r="U336" i="5"/>
  <c r="U272" i="5"/>
  <c r="V272" i="5"/>
  <c r="V418" i="5"/>
  <c r="U418" i="5"/>
  <c r="U391" i="5"/>
  <c r="V391" i="5"/>
  <c r="V380" i="5"/>
  <c r="U380" i="5"/>
  <c r="V371" i="5"/>
  <c r="U371" i="5"/>
  <c r="V297" i="5"/>
  <c r="U297" i="5"/>
  <c r="U436" i="5"/>
  <c r="V436" i="5"/>
  <c r="U421" i="5"/>
  <c r="V421" i="5"/>
  <c r="U405" i="5"/>
  <c r="V405" i="5"/>
  <c r="V390" i="5"/>
  <c r="U390" i="5"/>
  <c r="V367" i="5"/>
  <c r="U367" i="5"/>
  <c r="U359" i="5"/>
  <c r="V359" i="5"/>
  <c r="V337" i="5"/>
  <c r="U337" i="5"/>
  <c r="V309" i="5"/>
  <c r="U309" i="5"/>
  <c r="U267" i="5"/>
  <c r="V267" i="5"/>
  <c r="U349" i="5"/>
  <c r="V349" i="5"/>
  <c r="U326" i="5"/>
  <c r="V326" i="5"/>
  <c r="U307" i="5"/>
  <c r="V307" i="5"/>
  <c r="V298" i="5"/>
  <c r="U298" i="5"/>
  <c r="V285" i="5"/>
  <c r="U285" i="5"/>
  <c r="U268" i="5"/>
  <c r="V268" i="5"/>
  <c r="U256" i="5"/>
  <c r="V256" i="5"/>
  <c r="U226" i="5"/>
  <c r="V226" i="5"/>
  <c r="U325" i="5"/>
  <c r="V325" i="5"/>
  <c r="V311" i="5"/>
  <c r="U311" i="5"/>
  <c r="V291" i="5"/>
  <c r="U291" i="5"/>
  <c r="U266" i="5"/>
  <c r="V266" i="5"/>
  <c r="U244" i="5"/>
  <c r="V244" i="5"/>
  <c r="V332" i="5"/>
  <c r="U332" i="5"/>
  <c r="U314" i="5"/>
  <c r="V314" i="5"/>
  <c r="U295" i="5"/>
  <c r="V295" i="5"/>
  <c r="U278" i="5"/>
  <c r="V278" i="5"/>
  <c r="U270" i="5"/>
  <c r="V270" i="5"/>
  <c r="V257" i="5"/>
  <c r="U257" i="5"/>
  <c r="U249" i="5"/>
  <c r="V249" i="5"/>
  <c r="V153" i="5"/>
  <c r="U153" i="5"/>
  <c r="U233" i="5"/>
  <c r="V233" i="5"/>
  <c r="U219" i="5"/>
  <c r="V219" i="5"/>
  <c r="U192" i="5"/>
  <c r="V192" i="5"/>
  <c r="U168" i="5"/>
  <c r="V168" i="5"/>
  <c r="U238" i="5"/>
  <c r="V238" i="5"/>
  <c r="U217" i="5"/>
  <c r="V217" i="5"/>
  <c r="U193" i="5"/>
  <c r="V193" i="5"/>
  <c r="U144" i="5"/>
  <c r="V144" i="5"/>
  <c r="U234" i="5"/>
  <c r="V234" i="5"/>
  <c r="U220" i="5"/>
  <c r="V220" i="5"/>
  <c r="U209" i="5"/>
  <c r="V209" i="5"/>
  <c r="U202" i="5"/>
  <c r="V202" i="5"/>
  <c r="U164" i="5"/>
  <c r="V164" i="5"/>
  <c r="U198" i="5"/>
  <c r="V198" i="5"/>
  <c r="V189" i="5"/>
  <c r="U189" i="5"/>
  <c r="V179" i="5"/>
  <c r="U179" i="5"/>
  <c r="U158" i="5"/>
  <c r="V158" i="5"/>
  <c r="U184" i="5"/>
  <c r="V184" i="5"/>
  <c r="U163" i="5"/>
  <c r="V163" i="5"/>
  <c r="V111" i="5"/>
  <c r="U111" i="5"/>
  <c r="U178" i="5"/>
  <c r="V178" i="5"/>
  <c r="U167" i="5"/>
  <c r="V167" i="5"/>
  <c r="V128" i="5"/>
  <c r="U128" i="5"/>
  <c r="U145" i="5"/>
  <c r="V145" i="5"/>
  <c r="U122" i="5"/>
  <c r="V122" i="5"/>
  <c r="V104" i="5"/>
  <c r="U104" i="5"/>
  <c r="U148" i="5"/>
  <c r="V148" i="5"/>
  <c r="U129" i="5"/>
  <c r="V129" i="5"/>
  <c r="U116" i="5"/>
  <c r="V116" i="5"/>
  <c r="U103" i="5"/>
  <c r="V103" i="5"/>
  <c r="U147" i="5"/>
  <c r="V147" i="5"/>
  <c r="U132" i="5"/>
  <c r="V132" i="5"/>
  <c r="U113" i="5"/>
  <c r="V113" i="5"/>
  <c r="U110" i="5"/>
  <c r="V110" i="5"/>
  <c r="U90" i="5"/>
  <c r="V90" i="5"/>
  <c r="U72" i="5"/>
  <c r="V72" i="5"/>
  <c r="U102" i="5"/>
  <c r="V102" i="5"/>
  <c r="U97" i="5"/>
  <c r="V97" i="5"/>
  <c r="V81" i="5"/>
  <c r="U81" i="5"/>
  <c r="U78" i="5"/>
  <c r="V78" i="5"/>
  <c r="U77" i="5"/>
  <c r="V77" i="5"/>
  <c r="U71" i="5"/>
  <c r="V71" i="5"/>
  <c r="V58" i="5"/>
  <c r="U58" i="5"/>
  <c r="U65" i="5"/>
  <c r="V65" i="5"/>
  <c r="U51" i="5"/>
  <c r="V51" i="5"/>
  <c r="U23" i="5"/>
  <c r="V23" i="5"/>
  <c r="U54" i="5"/>
  <c r="V54" i="5"/>
  <c r="U49" i="5"/>
  <c r="V49" i="5"/>
  <c r="U40" i="5"/>
  <c r="V40" i="5"/>
  <c r="U45" i="5"/>
  <c r="V45" i="5"/>
  <c r="U31" i="5"/>
  <c r="V31" i="5"/>
  <c r="U21" i="5"/>
  <c r="V21" i="5"/>
  <c r="U29" i="5"/>
  <c r="V29" i="5"/>
  <c r="BE21" i="5"/>
  <c r="BD21" i="5"/>
  <c r="BE31" i="5"/>
  <c r="BD31" i="5"/>
  <c r="BE63" i="5"/>
  <c r="BD63" i="5"/>
  <c r="BE52" i="5"/>
  <c r="BD52" i="5"/>
  <c r="BD90" i="5"/>
  <c r="BE90" i="5"/>
  <c r="BE88" i="5"/>
  <c r="BD88" i="5"/>
  <c r="BE71" i="5"/>
  <c r="BD71" i="5"/>
  <c r="BD122" i="5"/>
  <c r="BE122" i="5"/>
  <c r="BD138" i="5"/>
  <c r="BE138" i="5"/>
  <c r="BD157" i="5"/>
  <c r="BE157" i="5"/>
  <c r="BE154" i="5"/>
  <c r="BD154" i="5"/>
  <c r="BE215" i="5"/>
  <c r="BD215" i="5"/>
  <c r="BD209" i="5"/>
  <c r="BE209" i="5"/>
  <c r="BD249" i="5"/>
  <c r="BE249" i="5"/>
  <c r="BD255" i="5"/>
  <c r="BE255" i="5"/>
  <c r="BE295" i="5"/>
  <c r="BD295" i="5"/>
  <c r="BD312" i="5"/>
  <c r="BE312" i="5"/>
  <c r="BE246" i="5"/>
  <c r="BD246" i="5"/>
  <c r="BD271" i="5"/>
  <c r="BE271" i="5"/>
  <c r="BD333" i="5"/>
  <c r="BE333" i="5"/>
  <c r="BD409" i="5"/>
  <c r="BE409" i="5"/>
  <c r="BE353" i="5"/>
  <c r="BD353" i="5"/>
  <c r="BD390" i="5"/>
  <c r="BE390" i="5"/>
  <c r="BD379" i="5"/>
  <c r="BE379" i="5"/>
  <c r="BD450" i="5"/>
  <c r="BE450" i="5"/>
  <c r="BD493" i="5"/>
  <c r="BE493" i="5"/>
  <c r="BE491" i="5"/>
  <c r="BD491" i="5"/>
  <c r="BD463" i="5"/>
  <c r="BE463" i="5"/>
  <c r="BD482" i="5"/>
  <c r="BE482" i="5"/>
  <c r="BD441" i="5"/>
  <c r="BE441" i="5"/>
  <c r="BD484" i="5"/>
  <c r="BE484" i="5"/>
  <c r="BD365" i="5"/>
  <c r="BE365" i="5"/>
  <c r="BD432" i="5"/>
  <c r="BE432" i="5"/>
  <c r="BD556" i="5"/>
  <c r="BE556" i="5"/>
  <c r="BD446" i="5"/>
  <c r="BE446" i="5"/>
  <c r="BE42" i="5"/>
  <c r="BD42" i="5"/>
  <c r="BE54" i="5"/>
  <c r="BD54" i="5"/>
  <c r="BE66" i="5"/>
  <c r="BD66" i="5"/>
  <c r="BD93" i="5"/>
  <c r="BE93" i="5"/>
  <c r="BD103" i="5"/>
  <c r="BE103" i="5"/>
  <c r="BD91" i="5"/>
  <c r="BE91" i="5"/>
  <c r="BE89" i="5"/>
  <c r="BD89" i="5"/>
  <c r="BE142" i="5"/>
  <c r="BD142" i="5"/>
  <c r="BE135" i="5"/>
  <c r="BD135" i="5"/>
  <c r="BD131" i="5"/>
  <c r="BE131" i="5"/>
  <c r="BD160" i="5"/>
  <c r="BE160" i="5"/>
  <c r="BD176" i="5"/>
  <c r="BE176" i="5"/>
  <c r="BE211" i="5"/>
  <c r="BD211" i="5"/>
  <c r="BD221" i="5"/>
  <c r="BE221" i="5"/>
  <c r="BD283" i="5"/>
  <c r="BE283" i="5"/>
  <c r="BD314" i="5"/>
  <c r="BE314" i="5"/>
  <c r="BD324" i="5"/>
  <c r="BE324" i="5"/>
  <c r="BE276" i="5"/>
  <c r="BD276" i="5"/>
  <c r="BE286" i="5"/>
  <c r="BD286" i="5"/>
  <c r="BE356" i="5"/>
  <c r="BD356" i="5"/>
  <c r="BE284" i="5"/>
  <c r="BD284" i="5"/>
  <c r="BD397" i="5"/>
  <c r="BE397" i="5"/>
  <c r="BE262" i="5"/>
  <c r="BD262" i="5"/>
  <c r="BE321" i="5"/>
  <c r="BD321" i="5"/>
  <c r="BE396" i="5"/>
  <c r="BD396" i="5"/>
  <c r="BE410" i="5"/>
  <c r="BD410" i="5"/>
  <c r="BD360" i="5"/>
  <c r="BE360" i="5"/>
  <c r="BE375" i="5"/>
  <c r="BD375" i="5"/>
  <c r="BE275" i="5"/>
  <c r="BD275" i="5"/>
  <c r="BE346" i="5"/>
  <c r="BD346" i="5"/>
  <c r="BD530" i="5"/>
  <c r="BE530" i="5"/>
  <c r="BE370" i="5"/>
  <c r="BD370" i="5"/>
  <c r="BD337" i="5"/>
  <c r="BE337" i="5"/>
  <c r="BD459" i="5"/>
  <c r="BE459" i="5"/>
  <c r="BE377" i="5"/>
  <c r="BD377" i="5"/>
  <c r="BD558" i="5"/>
  <c r="BE558" i="5"/>
  <c r="BD45" i="5"/>
  <c r="BE45" i="5"/>
  <c r="BD70" i="5"/>
  <c r="BE70" i="5"/>
  <c r="BD144" i="5"/>
  <c r="BE144" i="5"/>
  <c r="BD166" i="5"/>
  <c r="BE166" i="5"/>
  <c r="BE306" i="5"/>
  <c r="BD306" i="5"/>
  <c r="BD364" i="5"/>
  <c r="BE364" i="5"/>
  <c r="BD418" i="5"/>
  <c r="BE418" i="5"/>
  <c r="BD499" i="5"/>
  <c r="BE499" i="5"/>
  <c r="BD512" i="5"/>
  <c r="BE512" i="5"/>
  <c r="BE428" i="5"/>
  <c r="BD428" i="5"/>
  <c r="BE542" i="5"/>
  <c r="BD542" i="5"/>
  <c r="BE27" i="5"/>
  <c r="BD27" i="5"/>
  <c r="BE86" i="5"/>
  <c r="BD86" i="5"/>
  <c r="BE123" i="5"/>
  <c r="BD123" i="5"/>
  <c r="BD207" i="5"/>
  <c r="BE207" i="5"/>
  <c r="BD203" i="5"/>
  <c r="BE203" i="5"/>
  <c r="BD323" i="5"/>
  <c r="BE323" i="5"/>
  <c r="BD502" i="5"/>
  <c r="BE502" i="5"/>
  <c r="BD453" i="5"/>
  <c r="BE453" i="5"/>
  <c r="BD358" i="5"/>
  <c r="BE358" i="5"/>
  <c r="U509" i="5"/>
  <c r="V509" i="5"/>
  <c r="U449" i="5"/>
  <c r="V449" i="5"/>
  <c r="U412" i="5"/>
  <c r="V412" i="5"/>
  <c r="V546" i="5"/>
  <c r="U546" i="5"/>
  <c r="V531" i="5"/>
  <c r="U531" i="5"/>
  <c r="U461" i="5"/>
  <c r="V461" i="5"/>
  <c r="U425" i="5"/>
  <c r="V425" i="5"/>
  <c r="U517" i="5"/>
  <c r="V517" i="5"/>
  <c r="U464" i="5"/>
  <c r="V464" i="5"/>
  <c r="U525" i="5"/>
  <c r="V525" i="5"/>
  <c r="V451" i="5"/>
  <c r="U451" i="5"/>
  <c r="U408" i="5"/>
  <c r="V408" i="5"/>
  <c r="U361" i="5"/>
  <c r="V361" i="5"/>
  <c r="V396" i="5"/>
  <c r="U396" i="5"/>
  <c r="V317" i="5"/>
  <c r="U317" i="5"/>
  <c r="U410" i="5"/>
  <c r="V410" i="5"/>
  <c r="U342" i="5"/>
  <c r="V342" i="5"/>
  <c r="U330" i="5"/>
  <c r="V330" i="5"/>
  <c r="U290" i="5"/>
  <c r="V290" i="5"/>
  <c r="U328" i="5"/>
  <c r="V328" i="5"/>
  <c r="V334" i="5"/>
  <c r="U334" i="5"/>
  <c r="V301" i="5"/>
  <c r="U301" i="5"/>
  <c r="U260" i="5"/>
  <c r="V260" i="5"/>
  <c r="V207" i="5"/>
  <c r="U207" i="5"/>
  <c r="V199" i="5"/>
  <c r="U199" i="5"/>
  <c r="V223" i="5"/>
  <c r="U223" i="5"/>
  <c r="U201" i="5"/>
  <c r="V201" i="5"/>
  <c r="V161" i="5"/>
  <c r="U161" i="5"/>
  <c r="U118" i="5"/>
  <c r="V118" i="5"/>
  <c r="U146" i="5"/>
  <c r="V146" i="5"/>
  <c r="U114" i="5"/>
  <c r="V114" i="5"/>
  <c r="U106" i="5"/>
  <c r="V106" i="5"/>
  <c r="V37" i="5"/>
  <c r="U37" i="5"/>
  <c r="U105" i="5"/>
  <c r="V105" i="5"/>
  <c r="V89" i="5"/>
  <c r="U89" i="5"/>
  <c r="U67" i="5"/>
  <c r="V67" i="5"/>
  <c r="U41" i="5"/>
  <c r="V41" i="5"/>
  <c r="U24" i="5"/>
  <c r="V24" i="5"/>
  <c r="BE525" i="5"/>
  <c r="BD525" i="5"/>
  <c r="BD544" i="5"/>
  <c r="BE544" i="5"/>
  <c r="BE43" i="5"/>
  <c r="BD43" i="5"/>
  <c r="BD126" i="5"/>
  <c r="BE126" i="5"/>
  <c r="BE173" i="5"/>
  <c r="BD173" i="5"/>
  <c r="BD191" i="5"/>
  <c r="BE191" i="5"/>
  <c r="BD270" i="5"/>
  <c r="BE270" i="5"/>
  <c r="BD374" i="5"/>
  <c r="BE374" i="5"/>
  <c r="BD381" i="5"/>
  <c r="BE381" i="5"/>
  <c r="BE471" i="5"/>
  <c r="BD471" i="5"/>
  <c r="BD533" i="5"/>
  <c r="BE533" i="5"/>
  <c r="BE41" i="5"/>
  <c r="BD41" i="5"/>
  <c r="BD96" i="5"/>
  <c r="BE96" i="5"/>
  <c r="BE165" i="5"/>
  <c r="BD165" i="5"/>
  <c r="BD251" i="5"/>
  <c r="BE251" i="5"/>
  <c r="BD237" i="5"/>
  <c r="BE237" i="5"/>
  <c r="BD403" i="5"/>
  <c r="BE403" i="5"/>
  <c r="BD494" i="5"/>
  <c r="BE494" i="5"/>
  <c r="BE553" i="5"/>
  <c r="BD553" i="5"/>
  <c r="BD521" i="5"/>
  <c r="BE521" i="5"/>
  <c r="BD194" i="5"/>
  <c r="BE194" i="5"/>
  <c r="BD274" i="5"/>
  <c r="BE274" i="5"/>
  <c r="BE319" i="5"/>
  <c r="BD319" i="5"/>
  <c r="BD267" i="5"/>
  <c r="BE267" i="5"/>
  <c r="BD488" i="5"/>
  <c r="BE488" i="5"/>
  <c r="BD452" i="5"/>
  <c r="BE452" i="5"/>
  <c r="BE552" i="5"/>
  <c r="BD552" i="5"/>
  <c r="BE449" i="5"/>
  <c r="BD449" i="5"/>
  <c r="BD33" i="5"/>
  <c r="BE33" i="5"/>
  <c r="BD60" i="5"/>
  <c r="BE60" i="5"/>
  <c r="BE114" i="5"/>
  <c r="BD114" i="5"/>
  <c r="BE152" i="5"/>
  <c r="BD152" i="5"/>
  <c r="BE197" i="5"/>
  <c r="BD197" i="5"/>
  <c r="BD213" i="5"/>
  <c r="BE213" i="5"/>
  <c r="BE196" i="5"/>
  <c r="BD196" i="5"/>
  <c r="BE268" i="5"/>
  <c r="BD268" i="5"/>
  <c r="BE317" i="5"/>
  <c r="BD317" i="5"/>
  <c r="BE334" i="5"/>
  <c r="BD334" i="5"/>
  <c r="BD490" i="5"/>
  <c r="BE490" i="5"/>
  <c r="U19" i="5"/>
  <c r="V19" i="5"/>
  <c r="V559" i="5"/>
  <c r="U559" i="5"/>
  <c r="V552" i="5"/>
  <c r="U552" i="5"/>
  <c r="U406" i="5"/>
  <c r="V406" i="5"/>
  <c r="U465" i="5"/>
  <c r="V465" i="5"/>
  <c r="U493" i="5"/>
  <c r="V493" i="5"/>
  <c r="U457" i="5"/>
  <c r="V457" i="5"/>
  <c r="V368" i="5"/>
  <c r="U368" i="5"/>
  <c r="U501" i="5"/>
  <c r="V501" i="5"/>
  <c r="U462" i="5"/>
  <c r="V462" i="5"/>
  <c r="V537" i="5"/>
  <c r="U537" i="5"/>
  <c r="U466" i="5"/>
  <c r="V466" i="5"/>
  <c r="V355" i="5"/>
  <c r="U355" i="5"/>
  <c r="BE127" i="5"/>
  <c r="BD127" i="5"/>
  <c r="BE58" i="5"/>
  <c r="BD58" i="5"/>
  <c r="BE82" i="5"/>
  <c r="BD82" i="5"/>
  <c r="BE140" i="5"/>
  <c r="BD140" i="5"/>
  <c r="BD223" i="5"/>
  <c r="BE223" i="5"/>
  <c r="BD260" i="5"/>
  <c r="BE260" i="5"/>
  <c r="BE219" i="5"/>
  <c r="BD219" i="5"/>
  <c r="BD304" i="5"/>
  <c r="BE304" i="5"/>
  <c r="BD359" i="5"/>
  <c r="BE359" i="5"/>
  <c r="BD372" i="5"/>
  <c r="BE372" i="5"/>
  <c r="BD466" i="5"/>
  <c r="BE466" i="5"/>
  <c r="BD464" i="5"/>
  <c r="BE464" i="5"/>
  <c r="BD498" i="5"/>
  <c r="BE498" i="5"/>
  <c r="BE547" i="5"/>
  <c r="BD547" i="5"/>
  <c r="BE523" i="5"/>
  <c r="BD523" i="5"/>
  <c r="BE108" i="5"/>
  <c r="BD108" i="5"/>
  <c r="BD171" i="5"/>
  <c r="BE171" i="5"/>
  <c r="BE227" i="5"/>
  <c r="BD227" i="5"/>
  <c r="BE277" i="5"/>
  <c r="BD277" i="5"/>
  <c r="BE292" i="5"/>
  <c r="BD292" i="5"/>
  <c r="BD180" i="5"/>
  <c r="BE180" i="5"/>
  <c r="BE352" i="5"/>
  <c r="BD352" i="5"/>
  <c r="BE331" i="5"/>
  <c r="BD331" i="5"/>
  <c r="BE456" i="5"/>
  <c r="BD456" i="5"/>
  <c r="BD272" i="5"/>
  <c r="BE272" i="5"/>
  <c r="BD504" i="5"/>
  <c r="BE504" i="5"/>
  <c r="BE559" i="5"/>
  <c r="BD559" i="5"/>
  <c r="BD416" i="5"/>
  <c r="BE416" i="5"/>
  <c r="BD509" i="5"/>
  <c r="BE509" i="5"/>
  <c r="BE555" i="5"/>
  <c r="BD555" i="5"/>
  <c r="BD467" i="5"/>
  <c r="BE467" i="5"/>
  <c r="BD500" i="5"/>
  <c r="BE500" i="5"/>
  <c r="BD534" i="5"/>
  <c r="BE534" i="5"/>
  <c r="V523" i="5"/>
  <c r="U523" i="5"/>
  <c r="U488" i="5"/>
  <c r="V488" i="5"/>
  <c r="U445" i="5"/>
  <c r="V445" i="5"/>
  <c r="V558" i="5"/>
  <c r="U558" i="5"/>
  <c r="U530" i="5"/>
  <c r="V530" i="5"/>
  <c r="U419" i="5"/>
  <c r="V419" i="5"/>
  <c r="V551" i="5"/>
  <c r="U551" i="5"/>
  <c r="U518" i="5"/>
  <c r="V518" i="5"/>
  <c r="U450" i="5"/>
  <c r="V450" i="5"/>
  <c r="U394" i="5"/>
  <c r="V394" i="5"/>
  <c r="V550" i="5"/>
  <c r="U550" i="5"/>
  <c r="V542" i="5"/>
  <c r="U542" i="5"/>
  <c r="U534" i="5"/>
  <c r="V534" i="5"/>
  <c r="U444" i="5"/>
  <c r="V444" i="5"/>
  <c r="V338" i="5"/>
  <c r="U338" i="5"/>
  <c r="V556" i="5"/>
  <c r="U556" i="5"/>
  <c r="U510" i="5"/>
  <c r="V510" i="5"/>
  <c r="U492" i="5"/>
  <c r="V492" i="5"/>
  <c r="U482" i="5"/>
  <c r="V482" i="5"/>
  <c r="U467" i="5"/>
  <c r="V467" i="5"/>
  <c r="U455" i="5"/>
  <c r="V455" i="5"/>
  <c r="V435" i="5"/>
  <c r="U435" i="5"/>
  <c r="V416" i="5"/>
  <c r="U416" i="5"/>
  <c r="U395" i="5"/>
  <c r="V395" i="5"/>
  <c r="U360" i="5"/>
  <c r="V360" i="5"/>
  <c r="U521" i="5"/>
  <c r="V521" i="5"/>
  <c r="U511" i="5"/>
  <c r="V511" i="5"/>
  <c r="U500" i="5"/>
  <c r="V500" i="5"/>
  <c r="V483" i="5"/>
  <c r="U483" i="5"/>
  <c r="V471" i="5"/>
  <c r="U471" i="5"/>
  <c r="U459" i="5"/>
  <c r="V459" i="5"/>
  <c r="U442" i="5"/>
  <c r="V442" i="5"/>
  <c r="U351" i="5"/>
  <c r="V351" i="5"/>
  <c r="U533" i="5"/>
  <c r="V533" i="5"/>
  <c r="V515" i="5"/>
  <c r="U515" i="5"/>
  <c r="U505" i="5"/>
  <c r="V505" i="5"/>
  <c r="V481" i="5"/>
  <c r="U481" i="5"/>
  <c r="U460" i="5"/>
  <c r="V460" i="5"/>
  <c r="U447" i="5"/>
  <c r="V447" i="5"/>
  <c r="U430" i="5"/>
  <c r="V430" i="5"/>
  <c r="U357" i="5"/>
  <c r="V357" i="5"/>
  <c r="U414" i="5"/>
  <c r="V414" i="5"/>
  <c r="U402" i="5"/>
  <c r="V402" i="5"/>
  <c r="V383" i="5"/>
  <c r="U383" i="5"/>
  <c r="U365" i="5"/>
  <c r="V365" i="5"/>
  <c r="U353" i="5"/>
  <c r="V353" i="5"/>
  <c r="U319" i="5"/>
  <c r="V319" i="5"/>
  <c r="U228" i="5"/>
  <c r="V228" i="5"/>
  <c r="U409" i="5"/>
  <c r="V409" i="5"/>
  <c r="V389" i="5"/>
  <c r="U389" i="5"/>
  <c r="V376" i="5"/>
  <c r="U376" i="5"/>
  <c r="U369" i="5"/>
  <c r="V369" i="5"/>
  <c r="U247" i="5"/>
  <c r="V247" i="5"/>
  <c r="U433" i="5"/>
  <c r="V433" i="5"/>
  <c r="U420" i="5"/>
  <c r="V420" i="5"/>
  <c r="U403" i="5"/>
  <c r="V403" i="5"/>
  <c r="U387" i="5"/>
  <c r="V387" i="5"/>
  <c r="U366" i="5"/>
  <c r="V366" i="5"/>
  <c r="U350" i="5"/>
  <c r="V350" i="5"/>
  <c r="V329" i="5"/>
  <c r="U329" i="5"/>
  <c r="U286" i="5"/>
  <c r="V286" i="5"/>
  <c r="U262" i="5"/>
  <c r="V262" i="5"/>
  <c r="V343" i="5"/>
  <c r="U343" i="5"/>
  <c r="V321" i="5"/>
  <c r="U321" i="5"/>
  <c r="V305" i="5"/>
  <c r="U305" i="5"/>
  <c r="V296" i="5"/>
  <c r="U296" i="5"/>
  <c r="V281" i="5"/>
  <c r="U281" i="5"/>
  <c r="U264" i="5"/>
  <c r="V264" i="5"/>
  <c r="U253" i="5"/>
  <c r="V253" i="5"/>
  <c r="U160" i="5"/>
  <c r="V160" i="5"/>
  <c r="U323" i="5"/>
  <c r="V323" i="5"/>
  <c r="U302" i="5"/>
  <c r="V302" i="5"/>
  <c r="V288" i="5"/>
  <c r="U288" i="5"/>
  <c r="U258" i="5"/>
  <c r="V258" i="5"/>
  <c r="U237" i="5"/>
  <c r="V237" i="5"/>
  <c r="V327" i="5"/>
  <c r="U327" i="5"/>
  <c r="V308" i="5"/>
  <c r="U308" i="5"/>
  <c r="V289" i="5"/>
  <c r="U289" i="5"/>
  <c r="U277" i="5"/>
  <c r="V277" i="5"/>
  <c r="U265" i="5"/>
  <c r="V265" i="5"/>
  <c r="U255" i="5"/>
  <c r="V255" i="5"/>
  <c r="U248" i="5"/>
  <c r="V248" i="5"/>
  <c r="U240" i="5"/>
  <c r="V240" i="5"/>
  <c r="U230" i="5"/>
  <c r="V230" i="5"/>
  <c r="U213" i="5"/>
  <c r="V213" i="5"/>
  <c r="U191" i="5"/>
  <c r="V191" i="5"/>
  <c r="V157" i="5"/>
  <c r="U157" i="5"/>
  <c r="U232" i="5"/>
  <c r="V232" i="5"/>
  <c r="U216" i="5"/>
  <c r="V216" i="5"/>
  <c r="U166" i="5"/>
  <c r="V166" i="5"/>
  <c r="U120" i="5"/>
  <c r="V120" i="5"/>
  <c r="V227" i="5"/>
  <c r="U227" i="5"/>
  <c r="U218" i="5"/>
  <c r="V218" i="5"/>
  <c r="U208" i="5"/>
  <c r="V208" i="5"/>
  <c r="U200" i="5"/>
  <c r="V200" i="5"/>
  <c r="U206" i="5"/>
  <c r="V206" i="5"/>
  <c r="U197" i="5"/>
  <c r="V197" i="5"/>
  <c r="V186" i="5"/>
  <c r="U186" i="5"/>
  <c r="V175" i="5"/>
  <c r="U175" i="5"/>
  <c r="U154" i="5"/>
  <c r="V154" i="5"/>
  <c r="U182" i="5"/>
  <c r="V182" i="5"/>
  <c r="U140" i="5"/>
  <c r="V140" i="5"/>
  <c r="V86" i="5"/>
  <c r="U86" i="5"/>
  <c r="V177" i="5"/>
  <c r="U177" i="5"/>
  <c r="V165" i="5"/>
  <c r="U165" i="5"/>
  <c r="U125" i="5"/>
  <c r="V125" i="5"/>
  <c r="V143" i="5"/>
  <c r="U143" i="5"/>
  <c r="U119" i="5"/>
  <c r="V119" i="5"/>
  <c r="U75" i="5"/>
  <c r="V75" i="5"/>
  <c r="U142" i="5"/>
  <c r="V142" i="5"/>
  <c r="U124" i="5"/>
  <c r="V124" i="5"/>
  <c r="V112" i="5"/>
  <c r="U112" i="5"/>
  <c r="U99" i="5"/>
  <c r="V99" i="5"/>
  <c r="U141" i="5"/>
  <c r="V141" i="5"/>
  <c r="V127" i="5"/>
  <c r="U127" i="5"/>
  <c r="U93" i="5"/>
  <c r="V93" i="5"/>
  <c r="U108" i="5"/>
  <c r="V108" i="5"/>
  <c r="U88" i="5"/>
  <c r="V88" i="5"/>
  <c r="U60" i="5"/>
  <c r="V60" i="5"/>
  <c r="U95" i="5"/>
  <c r="V95" i="5"/>
  <c r="U96" i="5"/>
  <c r="V96" i="5"/>
  <c r="U25" i="5"/>
  <c r="V25" i="5"/>
  <c r="V73" i="5"/>
  <c r="U73" i="5"/>
  <c r="U74" i="5"/>
  <c r="V74" i="5"/>
  <c r="U68" i="5"/>
  <c r="V68" i="5"/>
  <c r="V55" i="5"/>
  <c r="U55" i="5"/>
  <c r="U62" i="5"/>
  <c r="V62" i="5"/>
  <c r="U50" i="5"/>
  <c r="V50" i="5"/>
  <c r="U20" i="5"/>
  <c r="V20" i="5"/>
  <c r="U53" i="5"/>
  <c r="V53" i="5"/>
  <c r="U48" i="5"/>
  <c r="V48" i="5"/>
  <c r="U36" i="5"/>
  <c r="V36" i="5"/>
  <c r="U42" i="5"/>
  <c r="V42" i="5"/>
  <c r="V27" i="5"/>
  <c r="U27" i="5"/>
  <c r="U46" i="5"/>
  <c r="V46" i="5"/>
  <c r="V28" i="5"/>
  <c r="U28" i="5"/>
  <c r="BD241" i="5"/>
  <c r="BE241" i="5"/>
  <c r="BE483" i="5"/>
  <c r="BD483" i="5"/>
  <c r="BE536" i="5"/>
  <c r="BD536" i="5"/>
  <c r="BE39" i="5"/>
  <c r="BD39" i="5"/>
  <c r="BD53" i="5"/>
  <c r="BE53" i="5"/>
  <c r="BD20" i="5"/>
  <c r="BE20" i="5"/>
  <c r="BE22" i="5"/>
  <c r="BD22" i="5"/>
  <c r="BE77" i="5"/>
  <c r="BD77" i="5"/>
  <c r="BD75" i="5"/>
  <c r="BE75" i="5"/>
  <c r="BD136" i="5"/>
  <c r="BE136" i="5"/>
  <c r="BE129" i="5"/>
  <c r="BD129" i="5"/>
  <c r="BE150" i="5"/>
  <c r="BD150" i="5"/>
  <c r="BE111" i="5"/>
  <c r="BD111" i="5"/>
  <c r="BE198" i="5"/>
  <c r="BD198" i="5"/>
  <c r="BE248" i="5"/>
  <c r="BD248" i="5"/>
  <c r="BD238" i="5"/>
  <c r="BE238" i="5"/>
  <c r="BD280" i="5"/>
  <c r="BE280" i="5"/>
  <c r="BD297" i="5"/>
  <c r="BE297" i="5"/>
  <c r="BD311" i="5"/>
  <c r="BE311" i="5"/>
  <c r="BE259" i="5"/>
  <c r="BD259" i="5"/>
  <c r="BE335" i="5"/>
  <c r="BD335" i="5"/>
  <c r="BD231" i="5"/>
  <c r="BE231" i="5"/>
  <c r="BE330" i="5"/>
  <c r="BD330" i="5"/>
  <c r="BD401" i="5"/>
  <c r="BE401" i="5"/>
  <c r="BE420" i="5"/>
  <c r="BD420" i="5"/>
  <c r="BE298" i="5"/>
  <c r="BD298" i="5"/>
  <c r="BD393" i="5"/>
  <c r="BE393" i="5"/>
  <c r="BD339" i="5"/>
  <c r="BE339" i="5"/>
  <c r="BD344" i="5"/>
  <c r="BE344" i="5"/>
  <c r="BE508" i="5"/>
  <c r="BD508" i="5"/>
  <c r="BD442" i="5"/>
  <c r="BE442" i="5"/>
  <c r="BD475" i="5"/>
  <c r="BE475" i="5"/>
  <c r="BD457" i="5"/>
  <c r="BE457" i="5"/>
  <c r="BD505" i="5"/>
  <c r="BE505" i="5"/>
  <c r="BE524" i="5"/>
  <c r="BD524" i="5"/>
  <c r="BD204" i="5"/>
  <c r="BE204" i="5"/>
  <c r="BD541" i="5"/>
  <c r="BE541" i="5"/>
  <c r="BE532" i="5"/>
  <c r="BD532" i="5"/>
  <c r="BD119" i="5"/>
  <c r="BE119" i="5"/>
  <c r="BD29" i="5"/>
  <c r="BE29" i="5"/>
  <c r="BE24" i="5"/>
  <c r="BD24" i="5"/>
  <c r="BE25" i="5"/>
  <c r="BD25" i="5"/>
  <c r="BE78" i="5"/>
  <c r="BD78" i="5"/>
  <c r="BD79" i="5"/>
  <c r="BE79" i="5"/>
  <c r="BE141" i="5"/>
  <c r="BD141" i="5"/>
  <c r="BD118" i="5"/>
  <c r="BE118" i="5"/>
  <c r="BE110" i="5"/>
  <c r="BD110" i="5"/>
  <c r="BE187" i="5"/>
  <c r="BD187" i="5"/>
  <c r="BD199" i="5"/>
  <c r="BE199" i="5"/>
  <c r="BE164" i="5"/>
  <c r="BD164" i="5"/>
  <c r="BD195" i="5"/>
  <c r="BE195" i="5"/>
  <c r="BD233" i="5"/>
  <c r="BE233" i="5"/>
  <c r="BE250" i="5"/>
  <c r="BD250" i="5"/>
  <c r="BD316" i="5"/>
  <c r="BE316" i="5"/>
  <c r="BD328" i="5"/>
  <c r="BE328" i="5"/>
  <c r="BE281" i="5"/>
  <c r="BD281" i="5"/>
  <c r="BD345" i="5"/>
  <c r="BE345" i="5"/>
  <c r="BD378" i="5"/>
  <c r="BE378" i="5"/>
  <c r="BD438" i="5"/>
  <c r="BE438" i="5"/>
  <c r="BD451" i="5"/>
  <c r="BE451" i="5"/>
  <c r="BE496" i="5"/>
  <c r="BD496" i="5"/>
  <c r="BD439" i="5"/>
  <c r="BE439" i="5"/>
  <c r="BE507" i="5"/>
  <c r="BD507" i="5"/>
  <c r="BE44" i="5"/>
  <c r="BD44" i="5"/>
  <c r="BE26" i="5"/>
  <c r="BD26" i="5"/>
  <c r="BD94" i="5"/>
  <c r="BE94" i="5"/>
  <c r="BE143" i="5"/>
  <c r="BD143" i="5"/>
  <c r="BE112" i="5"/>
  <c r="BD112" i="5"/>
  <c r="BE214" i="5"/>
  <c r="BD214" i="5"/>
  <c r="BE315" i="5"/>
  <c r="BD315" i="5"/>
  <c r="BD285" i="5"/>
  <c r="BE285" i="5"/>
  <c r="BD326" i="5"/>
  <c r="BE326" i="5"/>
  <c r="BE350" i="5"/>
  <c r="BD350" i="5"/>
  <c r="BE443" i="5"/>
  <c r="BD443" i="5"/>
  <c r="BE485" i="5"/>
  <c r="BD485" i="5"/>
  <c r="BE476" i="5"/>
  <c r="BD476" i="5"/>
  <c r="BE389" i="5"/>
  <c r="BD389" i="5"/>
  <c r="BD529" i="5"/>
  <c r="BE529" i="5"/>
  <c r="BD279" i="5"/>
  <c r="BE279" i="5"/>
  <c r="BE545" i="5"/>
  <c r="BD545" i="5"/>
  <c r="BD32" i="5"/>
  <c r="BE32" i="5"/>
  <c r="BE68" i="5"/>
  <c r="BD68" i="5"/>
  <c r="BE107" i="5"/>
  <c r="BD107" i="5"/>
  <c r="BD106" i="5"/>
  <c r="BE106" i="5"/>
  <c r="BE125" i="5"/>
  <c r="BD125" i="5"/>
  <c r="BD206" i="5"/>
  <c r="BE206" i="5"/>
  <c r="BD263" i="5"/>
  <c r="BE263" i="5"/>
  <c r="BE253" i="5"/>
  <c r="BD253" i="5"/>
  <c r="BE411" i="5"/>
  <c r="BD411" i="5"/>
  <c r="BE427" i="5"/>
  <c r="BD427" i="5"/>
  <c r="BD408" i="5"/>
  <c r="BE408" i="5"/>
  <c r="BD468" i="5"/>
  <c r="BE468" i="5"/>
  <c r="BD537" i="5"/>
  <c r="BE537" i="5"/>
  <c r="V476" i="5"/>
  <c r="U476" i="5"/>
  <c r="U397" i="5"/>
  <c r="V397" i="5"/>
  <c r="V553" i="5"/>
  <c r="U553" i="5"/>
  <c r="U527" i="5"/>
  <c r="V527" i="5"/>
  <c r="V541" i="5"/>
  <c r="U541" i="5"/>
  <c r="U484" i="5"/>
  <c r="V484" i="5"/>
  <c r="U346" i="5"/>
  <c r="V346" i="5"/>
  <c r="U495" i="5"/>
  <c r="V495" i="5"/>
  <c r="V487" i="5"/>
  <c r="U487" i="5"/>
  <c r="U446" i="5"/>
  <c r="V446" i="5"/>
  <c r="V374" i="5"/>
  <c r="U374" i="5"/>
  <c r="U333" i="5"/>
  <c r="V333" i="5"/>
  <c r="U496" i="5"/>
  <c r="V496" i="5"/>
  <c r="U475" i="5"/>
  <c r="V475" i="5"/>
  <c r="U431" i="5"/>
  <c r="V431" i="5"/>
  <c r="U508" i="5"/>
  <c r="V508" i="5"/>
  <c r="V494" i="5"/>
  <c r="U494" i="5"/>
  <c r="V441" i="5"/>
  <c r="U441" i="5"/>
  <c r="U384" i="5"/>
  <c r="V384" i="5"/>
  <c r="U392" i="5"/>
  <c r="V392" i="5"/>
  <c r="V340" i="5"/>
  <c r="U340" i="5"/>
  <c r="U275" i="5"/>
  <c r="V275" i="5"/>
  <c r="U385" i="5"/>
  <c r="V385" i="5"/>
  <c r="U372" i="5"/>
  <c r="V372" i="5"/>
  <c r="U424" i="5"/>
  <c r="V424" i="5"/>
  <c r="V378" i="5"/>
  <c r="U378" i="5"/>
  <c r="V362" i="5"/>
  <c r="U362" i="5"/>
  <c r="U280" i="5"/>
  <c r="V280" i="5"/>
  <c r="U354" i="5"/>
  <c r="V354" i="5"/>
  <c r="V300" i="5"/>
  <c r="U300" i="5"/>
  <c r="U259" i="5"/>
  <c r="V259" i="5"/>
  <c r="U231" i="5"/>
  <c r="V231" i="5"/>
  <c r="V292" i="5"/>
  <c r="U292" i="5"/>
  <c r="U276" i="5"/>
  <c r="V276" i="5"/>
  <c r="V318" i="5"/>
  <c r="U318" i="5"/>
  <c r="V273" i="5"/>
  <c r="U273" i="5"/>
  <c r="U176" i="5"/>
  <c r="V176" i="5"/>
  <c r="U235" i="5"/>
  <c r="V235" i="5"/>
  <c r="V174" i="5"/>
  <c r="U174" i="5"/>
  <c r="U242" i="5"/>
  <c r="V242" i="5"/>
  <c r="U150" i="5"/>
  <c r="V150" i="5"/>
  <c r="U211" i="5"/>
  <c r="V211" i="5"/>
  <c r="U203" i="5"/>
  <c r="V203" i="5"/>
  <c r="U190" i="5"/>
  <c r="V190" i="5"/>
  <c r="U79" i="5"/>
  <c r="V79" i="5"/>
  <c r="V181" i="5"/>
  <c r="U181" i="5"/>
  <c r="V171" i="5"/>
  <c r="U171" i="5"/>
  <c r="U130" i="5"/>
  <c r="V130" i="5"/>
  <c r="U131" i="5"/>
  <c r="V131" i="5"/>
  <c r="U117" i="5"/>
  <c r="V117" i="5"/>
  <c r="U136" i="5"/>
  <c r="V136" i="5"/>
  <c r="U121" i="5"/>
  <c r="V121" i="5"/>
  <c r="U83" i="5"/>
  <c r="V83" i="5"/>
  <c r="U82" i="5"/>
  <c r="V82" i="5"/>
  <c r="U76" i="5"/>
  <c r="V76" i="5"/>
  <c r="V63" i="5"/>
  <c r="U63" i="5"/>
  <c r="U30" i="5"/>
  <c r="V30" i="5"/>
  <c r="U64" i="5"/>
  <c r="V64" i="5"/>
  <c r="U22" i="5"/>
  <c r="V22" i="5"/>
  <c r="V38" i="5"/>
  <c r="U38" i="5"/>
  <c r="BD492" i="5"/>
  <c r="BE492" i="5"/>
  <c r="BD444" i="5"/>
  <c r="BE444" i="5"/>
  <c r="BE87" i="5"/>
  <c r="BD87" i="5"/>
  <c r="BE115" i="5"/>
  <c r="BD115" i="5"/>
  <c r="BE109" i="5"/>
  <c r="BD109" i="5"/>
  <c r="BE172" i="5"/>
  <c r="BD172" i="5"/>
  <c r="BE234" i="5"/>
  <c r="BD234" i="5"/>
  <c r="BE265" i="5"/>
  <c r="BD265" i="5"/>
  <c r="BE327" i="5"/>
  <c r="BD327" i="5"/>
  <c r="BE307" i="5"/>
  <c r="BD307" i="5"/>
  <c r="BD394" i="5"/>
  <c r="BE394" i="5"/>
  <c r="BD367" i="5"/>
  <c r="BE367" i="5"/>
  <c r="BD414" i="5"/>
  <c r="BE414" i="5"/>
  <c r="BE302" i="5"/>
  <c r="BD302" i="5"/>
  <c r="BE551" i="5"/>
  <c r="BD551" i="5"/>
  <c r="BE413" i="5"/>
  <c r="BD413" i="5"/>
  <c r="BE38" i="5"/>
  <c r="BD38" i="5"/>
  <c r="BD23" i="5"/>
  <c r="BE23" i="5"/>
  <c r="BD69" i="5"/>
  <c r="BE69" i="5"/>
  <c r="BE153" i="5"/>
  <c r="BD153" i="5"/>
  <c r="BD175" i="5"/>
  <c r="BE175" i="5"/>
  <c r="BE229" i="5"/>
  <c r="BD229" i="5"/>
  <c r="BE301" i="5"/>
  <c r="BD301" i="5"/>
  <c r="BD313" i="5"/>
  <c r="BE313" i="5"/>
  <c r="BD341" i="5"/>
  <c r="BE341" i="5"/>
  <c r="BE487" i="5"/>
  <c r="BD487" i="5"/>
  <c r="BD516" i="5"/>
  <c r="BE516" i="5"/>
  <c r="BD380" i="5"/>
  <c r="BE380" i="5"/>
  <c r="BE426" i="5"/>
  <c r="BD426" i="5"/>
  <c r="BD81" i="5"/>
  <c r="BE81" i="5"/>
  <c r="BD146" i="5"/>
  <c r="BE146" i="5"/>
  <c r="BE184" i="5"/>
  <c r="BD184" i="5"/>
  <c r="BD201" i="5"/>
  <c r="BE201" i="5"/>
  <c r="BE235" i="5"/>
  <c r="BD235" i="5"/>
  <c r="BD258" i="5"/>
  <c r="BE258" i="5"/>
  <c r="BD290" i="5"/>
  <c r="BE290" i="5"/>
  <c r="BD398" i="5"/>
  <c r="BE398" i="5"/>
  <c r="BD383" i="5"/>
  <c r="BE383" i="5"/>
  <c r="BD384" i="5"/>
  <c r="BE384" i="5"/>
  <c r="BE363" i="5"/>
  <c r="BD363" i="5"/>
  <c r="BD557" i="5"/>
  <c r="BE557" i="5"/>
  <c r="BD535" i="5"/>
  <c r="BE535" i="5"/>
  <c r="BE527" i="5"/>
  <c r="BD527" i="5"/>
  <c r="BE193" i="5"/>
  <c r="BD193" i="5"/>
  <c r="BD473" i="5"/>
  <c r="BE473" i="5"/>
  <c r="BE40" i="5"/>
  <c r="BD40" i="5"/>
  <c r="BD73" i="5"/>
  <c r="BE73" i="5"/>
  <c r="BE98" i="5"/>
  <c r="BD98" i="5"/>
  <c r="BE151" i="5"/>
  <c r="BD151" i="5"/>
  <c r="BD95" i="5"/>
  <c r="BE95" i="5"/>
  <c r="BE247" i="5"/>
  <c r="BD247" i="5"/>
  <c r="BD228" i="5"/>
  <c r="BE228" i="5"/>
  <c r="BE303" i="5"/>
  <c r="BD303" i="5"/>
  <c r="BD415" i="5"/>
  <c r="BE415" i="5"/>
  <c r="BD407" i="5"/>
  <c r="BE407" i="5"/>
  <c r="BE385" i="5"/>
  <c r="BD385" i="5"/>
  <c r="BD489" i="5"/>
  <c r="BE489" i="5"/>
  <c r="BD472" i="5"/>
  <c r="BE472" i="5"/>
  <c r="BD440" i="5"/>
  <c r="BE440" i="5"/>
  <c r="U502" i="5"/>
  <c r="V502" i="5"/>
  <c r="V535" i="5"/>
  <c r="U535" i="5"/>
  <c r="U440" i="5"/>
  <c r="V440" i="5"/>
  <c r="U490" i="5"/>
  <c r="V490" i="5"/>
  <c r="V554" i="5"/>
  <c r="U554" i="5"/>
  <c r="U536" i="5"/>
  <c r="V536" i="5"/>
  <c r="V557" i="5"/>
  <c r="U557" i="5"/>
  <c r="U526" i="5"/>
  <c r="V526" i="5"/>
  <c r="U470" i="5"/>
  <c r="V470" i="5"/>
  <c r="U439" i="5"/>
  <c r="V439" i="5"/>
  <c r="U398" i="5"/>
  <c r="V398" i="5"/>
  <c r="U512" i="5"/>
  <c r="V512" i="5"/>
  <c r="U485" i="5"/>
  <c r="V485" i="5"/>
  <c r="U453" i="5"/>
  <c r="V453" i="5"/>
  <c r="U516" i="5"/>
  <c r="V516" i="5"/>
  <c r="V507" i="5"/>
  <c r="U507" i="5"/>
  <c r="U448" i="5"/>
  <c r="V448" i="5"/>
  <c r="V373" i="5"/>
  <c r="U373" i="5"/>
  <c r="BD67" i="5"/>
  <c r="BE67" i="5"/>
  <c r="BE72" i="5"/>
  <c r="BD72" i="5"/>
  <c r="BD105" i="5"/>
  <c r="BE105" i="5"/>
  <c r="BD148" i="5"/>
  <c r="BE148" i="5"/>
  <c r="BD169" i="5"/>
  <c r="BE169" i="5"/>
  <c r="BE185" i="5"/>
  <c r="BD185" i="5"/>
  <c r="BD216" i="5"/>
  <c r="BE216" i="5"/>
  <c r="BD222" i="5"/>
  <c r="BE222" i="5"/>
  <c r="BE287" i="5"/>
  <c r="BD287" i="5"/>
  <c r="BD332" i="5"/>
  <c r="BE332" i="5"/>
  <c r="BD278" i="5"/>
  <c r="BE278" i="5"/>
  <c r="BD289" i="5"/>
  <c r="BE289" i="5"/>
  <c r="BD348" i="5"/>
  <c r="BE348" i="5"/>
  <c r="BD382" i="5"/>
  <c r="BE382" i="5"/>
  <c r="BE387" i="5"/>
  <c r="BD387" i="5"/>
  <c r="BD305" i="5"/>
  <c r="BE305" i="5"/>
  <c r="BD513" i="5"/>
  <c r="BE513" i="5"/>
  <c r="BD517" i="5"/>
  <c r="BE517" i="5"/>
  <c r="BE477" i="5"/>
  <c r="BD477" i="5"/>
  <c r="BD549" i="5"/>
  <c r="BE549" i="5"/>
  <c r="BD519" i="5"/>
  <c r="BE519" i="5"/>
  <c r="BD470" i="5"/>
  <c r="BE470" i="5"/>
  <c r="BE128" i="5"/>
  <c r="BD128" i="5"/>
  <c r="BE548" i="5"/>
  <c r="BD548" i="5"/>
  <c r="BD343" i="5"/>
  <c r="BE343" i="5"/>
  <c r="BE61" i="5"/>
  <c r="BD61" i="5"/>
  <c r="BD74" i="5"/>
  <c r="BE74" i="5"/>
  <c r="BD124" i="5"/>
  <c r="BE124" i="5"/>
  <c r="BD137" i="5"/>
  <c r="BE137" i="5"/>
  <c r="BD170" i="5"/>
  <c r="BE170" i="5"/>
  <c r="BE186" i="5"/>
  <c r="BD186" i="5"/>
  <c r="BE242" i="5"/>
  <c r="BD242" i="5"/>
  <c r="BD236" i="5"/>
  <c r="BE236" i="5"/>
  <c r="BD293" i="5"/>
  <c r="BE293" i="5"/>
  <c r="BD325" i="5"/>
  <c r="BE325" i="5"/>
  <c r="BD310" i="5"/>
  <c r="BE310" i="5"/>
  <c r="BD400" i="5"/>
  <c r="BE400" i="5"/>
  <c r="BD329" i="5"/>
  <c r="BE329" i="5"/>
  <c r="BE168" i="5"/>
  <c r="BD168" i="5"/>
  <c r="BD445" i="5"/>
  <c r="BE445" i="5"/>
  <c r="BE514" i="5"/>
  <c r="BD514" i="5"/>
  <c r="BE30" i="5"/>
  <c r="BD30" i="5"/>
  <c r="BE28" i="5"/>
  <c r="BD28" i="5"/>
  <c r="BD36" i="5"/>
  <c r="BE36" i="5"/>
  <c r="BE48" i="5"/>
  <c r="BD48" i="5"/>
  <c r="BE56" i="5"/>
  <c r="BD56" i="5"/>
  <c r="BD97" i="5"/>
  <c r="BE97" i="5"/>
  <c r="BE113" i="5"/>
  <c r="BD113" i="5"/>
  <c r="BE104" i="5"/>
  <c r="BD104" i="5"/>
  <c r="BE99" i="5"/>
  <c r="BD99" i="5"/>
  <c r="BD134" i="5"/>
  <c r="BE134" i="5"/>
  <c r="BE158" i="5"/>
  <c r="BD158" i="5"/>
  <c r="BE149" i="5"/>
  <c r="BD149" i="5"/>
  <c r="BE162" i="5"/>
  <c r="BD162" i="5"/>
  <c r="BE192" i="5"/>
  <c r="BD192" i="5"/>
  <c r="BE212" i="5"/>
  <c r="BD212" i="5"/>
  <c r="BD252" i="5"/>
  <c r="BE252" i="5"/>
  <c r="BD264" i="5"/>
  <c r="BE264" i="5"/>
  <c r="BD300" i="5"/>
  <c r="BE300" i="5"/>
  <c r="BD338" i="5"/>
  <c r="BE338" i="5"/>
  <c r="BD424" i="5"/>
  <c r="BE424" i="5"/>
  <c r="BD437" i="5"/>
  <c r="BE437" i="5"/>
  <c r="BE355" i="5"/>
  <c r="BD355" i="5"/>
  <c r="BD202" i="5"/>
  <c r="BE202" i="5"/>
  <c r="BD351" i="5"/>
  <c r="BE351" i="5"/>
  <c r="BD361" i="5"/>
  <c r="BE361" i="5"/>
  <c r="BD404" i="5"/>
  <c r="BE404" i="5"/>
  <c r="BD294" i="5"/>
  <c r="BE294" i="5"/>
  <c r="BD497" i="5"/>
  <c r="BE497" i="5"/>
  <c r="BD462" i="5"/>
  <c r="BE462" i="5"/>
  <c r="BD531" i="5"/>
  <c r="BE531" i="5"/>
  <c r="BD506" i="5"/>
  <c r="BE506" i="5"/>
  <c r="BD455" i="5"/>
  <c r="BE455" i="5"/>
  <c r="BD560" i="5"/>
  <c r="BE560" i="5"/>
  <c r="Q21" i="5"/>
  <c r="Q26" i="5"/>
  <c r="Q31" i="5"/>
  <c r="Q32" i="5"/>
  <c r="Q39" i="5"/>
  <c r="Q42" i="5"/>
  <c r="Q45" i="5"/>
  <c r="Q47" i="5"/>
  <c r="Q49" i="5"/>
  <c r="Q20" i="5"/>
  <c r="Q22" i="5"/>
  <c r="Q23" i="5"/>
  <c r="Q34" i="5"/>
  <c r="Q36" i="5"/>
  <c r="Q40" i="5"/>
  <c r="Q43" i="5"/>
  <c r="Q25" i="5"/>
  <c r="Q29" i="5"/>
  <c r="Q30" i="5"/>
  <c r="Q33" i="5"/>
  <c r="Q35" i="5"/>
  <c r="Q37" i="5"/>
  <c r="Q41" i="5"/>
  <c r="Q46" i="5"/>
  <c r="Q50" i="5"/>
  <c r="Q52" i="5"/>
  <c r="Q24" i="5"/>
  <c r="Q27" i="5"/>
  <c r="Q48" i="5"/>
  <c r="Q51" i="5"/>
  <c r="Q56" i="5"/>
  <c r="Q59" i="5"/>
  <c r="Q62" i="5"/>
  <c r="Q67" i="5"/>
  <c r="Q72" i="5"/>
  <c r="Q38" i="5"/>
  <c r="Q54" i="5"/>
  <c r="Q55" i="5"/>
  <c r="Q58" i="5"/>
  <c r="Q60" i="5"/>
  <c r="Q63" i="5"/>
  <c r="Q66" i="5"/>
  <c r="Q57" i="5"/>
  <c r="Q61" i="5"/>
  <c r="Q68" i="5"/>
  <c r="Q69" i="5"/>
  <c r="Q65" i="5"/>
  <c r="Q70" i="5"/>
  <c r="Q74" i="5"/>
  <c r="Q78" i="5"/>
  <c r="Q81" i="5"/>
  <c r="Q28" i="5"/>
  <c r="Q64" i="5"/>
  <c r="Q73" i="5"/>
  <c r="Q71" i="5"/>
  <c r="Q75" i="5"/>
  <c r="Q77" i="5"/>
  <c r="Q79" i="5"/>
  <c r="Q84" i="5"/>
  <c r="Q91" i="5"/>
  <c r="Q76" i="5"/>
  <c r="Q80" i="5"/>
  <c r="Q86" i="5"/>
  <c r="Q95" i="5"/>
  <c r="Q85" i="5"/>
  <c r="Q87" i="5"/>
  <c r="Q88" i="5"/>
  <c r="Q90" i="5"/>
  <c r="Q93" i="5"/>
  <c r="Q104" i="5"/>
  <c r="Q110" i="5"/>
  <c r="Q111" i="5"/>
  <c r="Q44" i="5"/>
  <c r="Q82" i="5"/>
  <c r="Q94" i="5"/>
  <c r="Q103" i="5"/>
  <c r="Q106" i="5"/>
  <c r="Q109" i="5"/>
  <c r="Q89" i="5"/>
  <c r="Q99" i="5"/>
  <c r="Q108" i="5"/>
  <c r="Q116" i="5"/>
  <c r="Q117" i="5"/>
  <c r="Q119" i="5"/>
  <c r="Q123" i="5"/>
  <c r="Q131" i="5"/>
  <c r="Q133" i="5"/>
  <c r="Q135" i="5"/>
  <c r="Q137" i="5"/>
  <c r="Q142" i="5"/>
  <c r="Q144" i="5"/>
  <c r="Q151" i="5"/>
  <c r="Q153" i="5"/>
  <c r="Q154" i="5"/>
  <c r="Q158" i="5"/>
  <c r="Q160" i="5"/>
  <c r="Q53" i="5"/>
  <c r="Q98" i="5"/>
  <c r="Q100" i="5"/>
  <c r="Q114" i="5"/>
  <c r="Q120" i="5"/>
  <c r="Q125" i="5"/>
  <c r="Q128" i="5"/>
  <c r="Q138" i="5"/>
  <c r="Q140" i="5"/>
  <c r="Q143" i="5"/>
  <c r="Q146" i="5"/>
  <c r="Q149" i="5"/>
  <c r="Q157" i="5"/>
  <c r="Q159" i="5"/>
  <c r="Q83" i="5"/>
  <c r="Q96" i="5"/>
  <c r="Q102" i="5"/>
  <c r="Q105" i="5"/>
  <c r="Q112" i="5"/>
  <c r="Q113" i="5"/>
  <c r="Q118" i="5"/>
  <c r="Q121" i="5"/>
  <c r="Q124" i="5"/>
  <c r="Q126" i="5"/>
  <c r="Q127" i="5"/>
  <c r="Q129" i="5"/>
  <c r="Q134" i="5"/>
  <c r="Q136" i="5"/>
  <c r="Q139" i="5"/>
  <c r="Q147" i="5"/>
  <c r="Q148" i="5"/>
  <c r="Q150" i="5"/>
  <c r="Q155" i="5"/>
  <c r="Q156" i="5"/>
  <c r="Q92" i="5"/>
  <c r="Q115" i="5"/>
  <c r="Q122" i="5"/>
  <c r="Q152" i="5"/>
  <c r="Q163" i="5"/>
  <c r="Q169" i="5"/>
  <c r="Q174" i="5"/>
  <c r="Q184" i="5"/>
  <c r="Q188" i="5"/>
  <c r="Q130" i="5"/>
  <c r="Q145" i="5"/>
  <c r="Q161" i="5"/>
  <c r="Q162" i="5"/>
  <c r="Q166" i="5"/>
  <c r="Q172" i="5"/>
  <c r="Q175" i="5"/>
  <c r="Q179" i="5"/>
  <c r="Q180" i="5"/>
  <c r="Q183" i="5"/>
  <c r="Q185" i="5"/>
  <c r="Q132" i="5"/>
  <c r="Q164" i="5"/>
  <c r="Q168" i="5"/>
  <c r="Q170" i="5"/>
  <c r="Q176" i="5"/>
  <c r="Q178" i="5"/>
  <c r="Q182" i="5"/>
  <c r="Q200" i="5"/>
  <c r="Q202" i="5"/>
  <c r="Q207" i="5"/>
  <c r="Q208" i="5"/>
  <c r="Q181" i="5"/>
  <c r="Q190" i="5"/>
  <c r="Q193" i="5"/>
  <c r="Q198" i="5"/>
  <c r="Q199" i="5"/>
  <c r="Q201" i="5"/>
  <c r="Q216" i="5"/>
  <c r="Q232" i="5"/>
  <c r="Q235" i="5"/>
  <c r="Q236" i="5"/>
  <c r="Q238" i="5"/>
  <c r="Q241" i="5"/>
  <c r="Q250" i="5"/>
  <c r="Q251" i="5"/>
  <c r="Q107" i="5"/>
  <c r="Q177" i="5"/>
  <c r="Q186" i="5"/>
  <c r="Q189" i="5"/>
  <c r="Q191" i="5"/>
  <c r="Q192" i="5"/>
  <c r="Q194" i="5"/>
  <c r="Q210" i="5"/>
  <c r="Q219" i="5"/>
  <c r="Q221" i="5"/>
  <c r="Q225" i="5"/>
  <c r="Q228" i="5"/>
  <c r="Q230" i="5"/>
  <c r="Q233" i="5"/>
  <c r="Q240" i="5"/>
  <c r="Q97" i="5"/>
  <c r="Q165" i="5"/>
  <c r="Q171" i="5"/>
  <c r="Q195" i="5"/>
  <c r="Q204" i="5"/>
  <c r="Q205" i="5"/>
  <c r="Q206" i="5"/>
  <c r="Q209" i="5"/>
  <c r="Q214" i="5"/>
  <c r="Q217" i="5"/>
  <c r="Q222" i="5"/>
  <c r="Q224" i="5"/>
  <c r="Q226" i="5"/>
  <c r="Q231" i="5"/>
  <c r="Q234" i="5"/>
  <c r="Q237" i="5"/>
  <c r="Q242" i="5"/>
  <c r="Q244" i="5"/>
  <c r="Q101" i="5"/>
  <c r="Q187" i="5"/>
  <c r="Q203" i="5"/>
  <c r="Q213" i="5"/>
  <c r="Q227" i="5"/>
  <c r="Q246" i="5"/>
  <c r="Q256" i="5"/>
  <c r="Q258" i="5"/>
  <c r="Q264" i="5"/>
  <c r="Q266" i="5"/>
  <c r="Q269" i="5"/>
  <c r="Q276" i="5"/>
  <c r="Q284" i="5"/>
  <c r="Q288" i="5"/>
  <c r="Q291" i="5"/>
  <c r="Q292" i="5"/>
  <c r="Q299" i="5"/>
  <c r="Q302" i="5"/>
  <c r="Q311" i="5"/>
  <c r="Q313" i="5"/>
  <c r="Q316" i="5"/>
  <c r="Q323" i="5"/>
  <c r="Q325" i="5"/>
  <c r="Q328" i="5"/>
  <c r="Q331" i="5"/>
  <c r="Q333" i="5"/>
  <c r="Q196" i="5"/>
  <c r="Q212" i="5"/>
  <c r="Q215" i="5"/>
  <c r="Q218" i="5"/>
  <c r="Q229" i="5"/>
  <c r="Q247" i="5"/>
  <c r="Q253" i="5"/>
  <c r="Q255" i="5"/>
  <c r="Q259" i="5"/>
  <c r="Q261" i="5"/>
  <c r="Q271" i="5"/>
  <c r="Q281" i="5"/>
  <c r="Q285" i="5"/>
  <c r="Q290" i="5"/>
  <c r="Q293" i="5"/>
  <c r="Q296" i="5"/>
  <c r="Q298" i="5"/>
  <c r="Q300" i="5"/>
  <c r="Q303" i="5"/>
  <c r="Q305" i="5"/>
  <c r="Q307" i="5"/>
  <c r="Q310" i="5"/>
  <c r="Q320" i="5"/>
  <c r="Q321" i="5"/>
  <c r="Q326" i="5"/>
  <c r="Q330" i="5"/>
  <c r="Q141" i="5"/>
  <c r="Q167" i="5"/>
  <c r="Q173" i="5"/>
  <c r="Q211" i="5"/>
  <c r="Q220" i="5"/>
  <c r="Q223" i="5"/>
  <c r="Q239" i="5"/>
  <c r="Q243" i="5"/>
  <c r="Q248" i="5"/>
  <c r="Q260" i="5"/>
  <c r="Q262" i="5"/>
  <c r="Q265" i="5"/>
  <c r="Q267" i="5"/>
  <c r="Q272" i="5"/>
  <c r="Q274" i="5"/>
  <c r="Q275" i="5"/>
  <c r="Q277" i="5"/>
  <c r="Q278" i="5"/>
  <c r="Q280" i="5"/>
  <c r="Q283" i="5"/>
  <c r="Q286" i="5"/>
  <c r="Q287" i="5"/>
  <c r="Q294" i="5"/>
  <c r="Q297" i="5"/>
  <c r="Q304" i="5"/>
  <c r="Q309" i="5"/>
  <c r="Q312" i="5"/>
  <c r="Q315" i="5"/>
  <c r="Q317" i="5"/>
  <c r="Q319" i="5"/>
  <c r="Q324" i="5"/>
  <c r="Q329" i="5"/>
  <c r="Q336" i="5"/>
  <c r="Q339" i="5"/>
  <c r="Q341" i="5"/>
  <c r="Q346" i="5"/>
  <c r="Q348" i="5"/>
  <c r="Q350" i="5"/>
  <c r="Q352" i="5"/>
  <c r="Q357" i="5"/>
  <c r="Q360" i="5"/>
  <c r="Q254" i="5"/>
  <c r="Q257" i="5"/>
  <c r="Q273" i="5"/>
  <c r="Q289" i="5"/>
  <c r="Q295" i="5"/>
  <c r="Q306" i="5"/>
  <c r="Q332" i="5"/>
  <c r="Q334" i="5"/>
  <c r="Q355" i="5"/>
  <c r="Q356" i="5"/>
  <c r="Q371" i="5"/>
  <c r="Q372" i="5"/>
  <c r="Q375" i="5"/>
  <c r="Q376" i="5"/>
  <c r="Q380" i="5"/>
  <c r="Q385" i="5"/>
  <c r="Q386" i="5"/>
  <c r="Q389" i="5"/>
  <c r="Q391" i="5"/>
  <c r="Q396" i="5"/>
  <c r="Q407" i="5"/>
  <c r="Q409" i="5"/>
  <c r="Q411" i="5"/>
  <c r="Q418" i="5"/>
  <c r="Q423" i="5"/>
  <c r="Q428" i="5"/>
  <c r="Q431" i="5"/>
  <c r="Q438" i="5"/>
  <c r="Q439" i="5"/>
  <c r="Q440" i="5"/>
  <c r="Q441" i="5"/>
  <c r="Q442" i="5"/>
  <c r="Q245" i="5"/>
  <c r="Q249" i="5"/>
  <c r="Q270" i="5"/>
  <c r="Q279" i="5"/>
  <c r="Q282" i="5"/>
  <c r="Q308" i="5"/>
  <c r="Q314" i="5"/>
  <c r="Q340" i="5"/>
  <c r="Q343" i="5"/>
  <c r="Q349" i="5"/>
  <c r="Q353" i="5"/>
  <c r="Q354" i="5"/>
  <c r="Q361" i="5"/>
  <c r="Q363" i="5"/>
  <c r="Q365" i="5"/>
  <c r="Q373" i="5"/>
  <c r="Q379" i="5"/>
  <c r="Q382" i="5"/>
  <c r="Q383" i="5"/>
  <c r="Q388" i="5"/>
  <c r="Q392" i="5"/>
  <c r="Q399" i="5"/>
  <c r="Q402" i="5"/>
  <c r="Q404" i="5"/>
  <c r="Q408" i="5"/>
  <c r="Q413" i="5"/>
  <c r="Q414" i="5"/>
  <c r="Q417" i="5"/>
  <c r="Q419" i="5"/>
  <c r="Q263" i="5"/>
  <c r="Q322" i="5"/>
  <c r="Q327" i="5"/>
  <c r="Q338" i="5"/>
  <c r="Q344" i="5"/>
  <c r="Q347" i="5"/>
  <c r="Q351" i="5"/>
  <c r="Q358" i="5"/>
  <c r="Q367" i="5"/>
  <c r="Q368" i="5"/>
  <c r="Q370" i="5"/>
  <c r="Q374" i="5"/>
  <c r="Q377" i="5"/>
  <c r="Q384" i="5"/>
  <c r="Q394" i="5"/>
  <c r="Q395" i="5"/>
  <c r="Q397" i="5"/>
  <c r="Q398" i="5"/>
  <c r="Q401" i="5"/>
  <c r="Q405" i="5"/>
  <c r="Q406" i="5"/>
  <c r="Q412" i="5"/>
  <c r="Q415" i="5"/>
  <c r="Q416" i="5"/>
  <c r="Q421" i="5"/>
  <c r="Q318" i="5"/>
  <c r="Q359" i="5"/>
  <c r="Q366" i="5"/>
  <c r="Q378" i="5"/>
  <c r="Q381" i="5"/>
  <c r="Q387" i="5"/>
  <c r="Q390" i="5"/>
  <c r="Q393" i="5"/>
  <c r="Q433" i="5"/>
  <c r="Q453" i="5"/>
  <c r="Q454" i="5"/>
  <c r="Q455" i="5"/>
  <c r="Q456" i="5"/>
  <c r="Q461" i="5"/>
  <c r="Q462" i="5"/>
  <c r="Q463" i="5"/>
  <c r="Q464" i="5"/>
  <c r="Q468" i="5"/>
  <c r="Q471" i="5"/>
  <c r="Q473" i="5"/>
  <c r="Q474" i="5"/>
  <c r="Q475" i="5"/>
  <c r="Q480" i="5"/>
  <c r="Q483" i="5"/>
  <c r="Q485" i="5"/>
  <c r="Q496" i="5"/>
  <c r="Q500" i="5"/>
  <c r="Q501" i="5"/>
  <c r="Q503" i="5"/>
  <c r="Q504" i="5"/>
  <c r="Q511" i="5"/>
  <c r="Q512" i="5"/>
  <c r="Q517" i="5"/>
  <c r="Q519" i="5"/>
  <c r="Q521" i="5"/>
  <c r="Q523" i="5"/>
  <c r="Q524" i="5"/>
  <c r="Q526" i="5"/>
  <c r="Q527" i="5"/>
  <c r="Q252" i="5"/>
  <c r="Q301" i="5"/>
  <c r="Q335" i="5"/>
  <c r="Q337" i="5"/>
  <c r="Q345" i="5"/>
  <c r="Q369" i="5"/>
  <c r="Q410" i="5"/>
  <c r="Q420" i="5"/>
  <c r="Q422" i="5"/>
  <c r="Q425" i="5"/>
  <c r="Q434" i="5"/>
  <c r="Q435" i="5"/>
  <c r="Q436" i="5"/>
  <c r="Q446" i="5"/>
  <c r="Q452" i="5"/>
  <c r="Q457" i="5"/>
  <c r="Q467" i="5"/>
  <c r="Q469" i="5"/>
  <c r="Q470" i="5"/>
  <c r="Q477" i="5"/>
  <c r="Q482" i="5"/>
  <c r="Q486" i="5"/>
  <c r="Q487" i="5"/>
  <c r="Q488" i="5"/>
  <c r="Q489" i="5"/>
  <c r="Q490" i="5"/>
  <c r="Q492" i="5"/>
  <c r="Q493" i="5"/>
  <c r="Q495" i="5"/>
  <c r="Q506" i="5"/>
  <c r="Q510" i="5"/>
  <c r="Q514" i="5"/>
  <c r="Q520" i="5"/>
  <c r="Q197" i="5"/>
  <c r="Q342" i="5"/>
  <c r="Q362" i="5"/>
  <c r="Q424" i="5"/>
  <c r="Q426" i="5"/>
  <c r="Q437" i="5"/>
  <c r="Q444" i="5"/>
  <c r="Q445" i="5"/>
  <c r="Q449" i="5"/>
  <c r="Q450" i="5"/>
  <c r="Q465" i="5"/>
  <c r="Q476" i="5"/>
  <c r="Q479" i="5"/>
  <c r="Q484" i="5"/>
  <c r="Q494" i="5"/>
  <c r="Q497" i="5"/>
  <c r="Q502" i="5"/>
  <c r="Q509" i="5"/>
  <c r="Q518" i="5"/>
  <c r="Q528" i="5"/>
  <c r="Q529" i="5"/>
  <c r="Q530" i="5"/>
  <c r="Q535" i="5"/>
  <c r="Q536" i="5"/>
  <c r="Q537" i="5"/>
  <c r="Q541" i="5"/>
  <c r="Q542" i="5"/>
  <c r="Q543" i="5"/>
  <c r="Q545" i="5"/>
  <c r="Q546" i="5"/>
  <c r="Q548" i="5"/>
  <c r="Q553" i="5"/>
  <c r="Q559" i="5"/>
  <c r="Q268" i="5"/>
  <c r="Q447" i="5"/>
  <c r="Q451" i="5"/>
  <c r="Q478" i="5"/>
  <c r="Q481" i="5"/>
  <c r="Q491" i="5"/>
  <c r="Q498" i="5"/>
  <c r="Q508" i="5"/>
  <c r="Q515" i="5"/>
  <c r="Q532" i="5"/>
  <c r="Q547" i="5"/>
  <c r="Q551" i="5"/>
  <c r="Q552" i="5"/>
  <c r="Q555" i="5"/>
  <c r="Q550" i="5"/>
  <c r="Q364" i="5"/>
  <c r="Q400" i="5"/>
  <c r="Q430" i="5"/>
  <c r="Q432" i="5"/>
  <c r="Q443" i="5"/>
  <c r="Q460" i="5"/>
  <c r="Q507" i="5"/>
  <c r="Q522" i="5"/>
  <c r="Q538" i="5"/>
  <c r="Q549" i="5"/>
  <c r="Q558" i="5"/>
  <c r="Q560" i="5"/>
  <c r="Q554" i="5"/>
  <c r="Q557" i="5"/>
  <c r="Q459" i="5"/>
  <c r="Q466" i="5"/>
  <c r="Q513" i="5"/>
  <c r="Q525" i="5"/>
  <c r="Q533" i="5"/>
  <c r="Q544" i="5"/>
  <c r="Q556" i="5"/>
  <c r="Q403" i="5"/>
  <c r="Q427" i="5"/>
  <c r="Q429" i="5"/>
  <c r="Q448" i="5"/>
  <c r="Q458" i="5"/>
  <c r="Q472" i="5"/>
  <c r="Q499" i="5"/>
  <c r="Q505" i="5"/>
  <c r="Q516" i="5"/>
  <c r="Q531" i="5"/>
  <c r="Q534" i="5"/>
  <c r="Q539" i="5"/>
  <c r="Q540" i="5"/>
  <c r="Q19" i="5"/>
  <c r="BD50" i="5"/>
  <c r="BE50" i="5"/>
  <c r="BD59" i="5"/>
  <c r="BE59" i="5"/>
  <c r="BE80" i="5"/>
  <c r="BD80" i="5"/>
  <c r="BE85" i="5"/>
  <c r="BD85" i="5"/>
  <c r="BE120" i="5"/>
  <c r="BD120" i="5"/>
  <c r="BE147" i="5"/>
  <c r="BD147" i="5"/>
  <c r="BD161" i="5"/>
  <c r="BE161" i="5"/>
  <c r="BD167" i="5"/>
  <c r="BE167" i="5"/>
  <c r="BD208" i="5"/>
  <c r="BE208" i="5"/>
  <c r="BD220" i="5"/>
  <c r="BE220" i="5"/>
  <c r="BE225" i="5"/>
  <c r="BD225" i="5"/>
  <c r="BD320" i="5"/>
  <c r="BE320" i="5"/>
  <c r="BE266" i="5"/>
  <c r="BD266" i="5"/>
  <c r="BE308" i="5"/>
  <c r="BD308" i="5"/>
  <c r="BD269" i="5"/>
  <c r="BE269" i="5"/>
  <c r="BE288" i="5"/>
  <c r="BD288" i="5"/>
  <c r="BE342" i="5"/>
  <c r="BD342" i="5"/>
  <c r="BE366" i="5"/>
  <c r="BD366" i="5"/>
  <c r="BD388" i="5"/>
  <c r="BE388" i="5"/>
  <c r="BD429" i="5"/>
  <c r="BE429" i="5"/>
  <c r="BD362" i="5"/>
  <c r="BE362" i="5"/>
  <c r="BE376" i="5"/>
  <c r="BD376" i="5"/>
  <c r="BD518" i="5"/>
  <c r="BE518" i="5"/>
  <c r="BE501" i="5"/>
  <c r="BD501" i="5"/>
  <c r="BD399" i="5"/>
  <c r="BE399" i="5"/>
  <c r="BD478" i="5"/>
  <c r="BE478" i="5"/>
  <c r="BE550" i="5"/>
  <c r="BD550" i="5"/>
  <c r="BE479" i="5"/>
  <c r="BD479" i="5"/>
  <c r="BD539" i="5"/>
  <c r="BE539" i="5"/>
  <c r="BD465" i="5"/>
  <c r="BE465" i="5"/>
  <c r="BD526" i="5"/>
  <c r="BE526" i="5"/>
  <c r="BD395" i="5"/>
  <c r="BE395" i="5"/>
  <c r="BD430" i="5"/>
  <c r="BE430" i="5"/>
  <c r="U520" i="5"/>
  <c r="V520" i="5"/>
  <c r="U479" i="5"/>
  <c r="V479" i="5"/>
  <c r="U423" i="5"/>
  <c r="V423" i="5"/>
  <c r="V549" i="5"/>
  <c r="U549" i="5"/>
  <c r="U528" i="5"/>
  <c r="V528" i="5"/>
  <c r="V555" i="5"/>
  <c r="U555" i="5"/>
  <c r="V543" i="5"/>
  <c r="U543" i="5"/>
  <c r="U514" i="5"/>
  <c r="V514" i="5"/>
  <c r="U426" i="5"/>
  <c r="V426" i="5"/>
  <c r="V544" i="5"/>
  <c r="U544" i="5"/>
  <c r="V548" i="5"/>
  <c r="U548" i="5"/>
  <c r="V540" i="5"/>
  <c r="U540" i="5"/>
  <c r="V529" i="5"/>
  <c r="U529" i="5"/>
  <c r="U352" i="5"/>
  <c r="V352" i="5"/>
  <c r="V304" i="5"/>
  <c r="U304" i="5"/>
  <c r="V538" i="5"/>
  <c r="U538" i="5"/>
  <c r="U506" i="5"/>
  <c r="V506" i="5"/>
  <c r="V489" i="5"/>
  <c r="U489" i="5"/>
  <c r="U477" i="5"/>
  <c r="V477" i="5"/>
  <c r="U463" i="5"/>
  <c r="V463" i="5"/>
  <c r="U452" i="5"/>
  <c r="V452" i="5"/>
  <c r="U434" i="5"/>
  <c r="V434" i="5"/>
  <c r="U413" i="5"/>
  <c r="V413" i="5"/>
  <c r="U377" i="5"/>
  <c r="V377" i="5"/>
  <c r="U358" i="5"/>
  <c r="V358" i="5"/>
  <c r="U519" i="5"/>
  <c r="V519" i="5"/>
  <c r="U504" i="5"/>
  <c r="V504" i="5"/>
  <c r="U498" i="5"/>
  <c r="V498" i="5"/>
  <c r="U480" i="5"/>
  <c r="V480" i="5"/>
  <c r="U468" i="5"/>
  <c r="V468" i="5"/>
  <c r="V456" i="5"/>
  <c r="U456" i="5"/>
  <c r="U438" i="5"/>
  <c r="V438" i="5"/>
  <c r="U347" i="5"/>
  <c r="V347" i="5"/>
  <c r="U532" i="5"/>
  <c r="V532" i="5"/>
  <c r="V513" i="5"/>
  <c r="U513" i="5"/>
  <c r="V499" i="5"/>
  <c r="U499" i="5"/>
  <c r="U478" i="5"/>
  <c r="V478" i="5"/>
  <c r="U458" i="5"/>
  <c r="V458" i="5"/>
  <c r="U443" i="5"/>
  <c r="V443" i="5"/>
  <c r="V428" i="5"/>
  <c r="U428" i="5"/>
  <c r="U324" i="5"/>
  <c r="V324" i="5"/>
  <c r="U411" i="5"/>
  <c r="V411" i="5"/>
  <c r="U399" i="5"/>
  <c r="V399" i="5"/>
  <c r="V382" i="5"/>
  <c r="U382" i="5"/>
  <c r="U363" i="5"/>
  <c r="V363" i="5"/>
  <c r="V348" i="5"/>
  <c r="U348" i="5"/>
  <c r="V294" i="5"/>
  <c r="U294" i="5"/>
  <c r="U195" i="5"/>
  <c r="V195" i="5"/>
  <c r="V407" i="5"/>
  <c r="U407" i="5"/>
  <c r="V386" i="5"/>
  <c r="U386" i="5"/>
  <c r="U375" i="5"/>
  <c r="V375" i="5"/>
  <c r="U341" i="5"/>
  <c r="V341" i="5"/>
  <c r="U214" i="5"/>
  <c r="V214" i="5"/>
  <c r="V429" i="5"/>
  <c r="U429" i="5"/>
  <c r="V415" i="5"/>
  <c r="U415" i="5"/>
  <c r="U400" i="5"/>
  <c r="V400" i="5"/>
  <c r="V381" i="5"/>
  <c r="U381" i="5"/>
  <c r="V364" i="5"/>
  <c r="U364" i="5"/>
  <c r="U345" i="5"/>
  <c r="V345" i="5"/>
  <c r="V315" i="5"/>
  <c r="U315" i="5"/>
  <c r="V283" i="5"/>
  <c r="U283" i="5"/>
  <c r="V356" i="5"/>
  <c r="U356" i="5"/>
  <c r="U335" i="5"/>
  <c r="V335" i="5"/>
  <c r="V320" i="5"/>
  <c r="U320" i="5"/>
  <c r="V303" i="5"/>
  <c r="U303" i="5"/>
  <c r="V293" i="5"/>
  <c r="U293" i="5"/>
  <c r="U271" i="5"/>
  <c r="V271" i="5"/>
  <c r="U261" i="5"/>
  <c r="V261" i="5"/>
  <c r="U246" i="5"/>
  <c r="V246" i="5"/>
  <c r="U331" i="5"/>
  <c r="V331" i="5"/>
  <c r="V316" i="5"/>
  <c r="U316" i="5"/>
  <c r="V299" i="5"/>
  <c r="U299" i="5"/>
  <c r="V284" i="5"/>
  <c r="U284" i="5"/>
  <c r="U251" i="5"/>
  <c r="V251" i="5"/>
  <c r="U135" i="5"/>
  <c r="V135" i="5"/>
  <c r="V322" i="5"/>
  <c r="U322" i="5"/>
  <c r="V306" i="5"/>
  <c r="U306" i="5"/>
  <c r="V282" i="5"/>
  <c r="U282" i="5"/>
  <c r="U274" i="5"/>
  <c r="V274" i="5"/>
  <c r="V263" i="5"/>
  <c r="U263" i="5"/>
  <c r="U254" i="5"/>
  <c r="V254" i="5"/>
  <c r="U241" i="5"/>
  <c r="V241" i="5"/>
  <c r="U236" i="5"/>
  <c r="V236" i="5"/>
  <c r="U225" i="5"/>
  <c r="V225" i="5"/>
  <c r="U210" i="5"/>
  <c r="V210" i="5"/>
  <c r="U180" i="5"/>
  <c r="V180" i="5"/>
  <c r="U243" i="5"/>
  <c r="V243" i="5"/>
  <c r="U229" i="5"/>
  <c r="V229" i="5"/>
  <c r="U212" i="5"/>
  <c r="V212" i="5"/>
  <c r="V159" i="5"/>
  <c r="U159" i="5"/>
  <c r="U245" i="5"/>
  <c r="V245" i="5"/>
  <c r="U224" i="5"/>
  <c r="V224" i="5"/>
  <c r="V215" i="5"/>
  <c r="U215" i="5"/>
  <c r="U205" i="5"/>
  <c r="V205" i="5"/>
  <c r="U196" i="5"/>
  <c r="V196" i="5"/>
  <c r="U204" i="5"/>
  <c r="V204" i="5"/>
  <c r="U194" i="5"/>
  <c r="V194" i="5"/>
  <c r="V185" i="5"/>
  <c r="U185" i="5"/>
  <c r="U172" i="5"/>
  <c r="V172" i="5"/>
  <c r="U100" i="5"/>
  <c r="V100" i="5"/>
  <c r="U170" i="5"/>
  <c r="V170" i="5"/>
  <c r="U133" i="5"/>
  <c r="V133" i="5"/>
  <c r="U187" i="5"/>
  <c r="V187" i="5"/>
  <c r="V173" i="5"/>
  <c r="U173" i="5"/>
  <c r="V149" i="5"/>
  <c r="U149" i="5"/>
  <c r="U152" i="5"/>
  <c r="V152" i="5"/>
  <c r="U138" i="5"/>
  <c r="V138" i="5"/>
  <c r="U115" i="5"/>
  <c r="V115" i="5"/>
  <c r="V156" i="5"/>
  <c r="U156" i="5"/>
  <c r="V137" i="5"/>
  <c r="U137" i="5"/>
  <c r="U123" i="5"/>
  <c r="V123" i="5"/>
  <c r="U109" i="5"/>
  <c r="V109" i="5"/>
  <c r="U84" i="5"/>
  <c r="V84" i="5"/>
  <c r="U139" i="5"/>
  <c r="V139" i="5"/>
  <c r="U126" i="5"/>
  <c r="V126" i="5"/>
  <c r="U87" i="5"/>
  <c r="V87" i="5"/>
  <c r="U101" i="5"/>
  <c r="V101" i="5"/>
  <c r="U85" i="5"/>
  <c r="V85" i="5"/>
  <c r="U107" i="5"/>
  <c r="V107" i="5"/>
  <c r="U69" i="5"/>
  <c r="V69" i="5"/>
  <c r="U94" i="5"/>
  <c r="V94" i="5"/>
  <c r="U92" i="5"/>
  <c r="V92" i="5"/>
  <c r="V61" i="5"/>
  <c r="U61" i="5"/>
  <c r="U80" i="5"/>
  <c r="V80" i="5"/>
  <c r="U66" i="5"/>
  <c r="V66" i="5"/>
  <c r="V35" i="5"/>
  <c r="U35" i="5"/>
  <c r="V59" i="5"/>
  <c r="U59" i="5"/>
  <c r="U33" i="5"/>
  <c r="V33" i="5"/>
  <c r="U70" i="5"/>
  <c r="V70" i="5"/>
  <c r="U52" i="5"/>
  <c r="V52" i="5"/>
  <c r="U47" i="5"/>
  <c r="V47" i="5"/>
  <c r="U34" i="5"/>
  <c r="V34" i="5"/>
  <c r="U39" i="5"/>
  <c r="V39" i="5"/>
  <c r="V26" i="5"/>
  <c r="U26" i="5"/>
  <c r="V44" i="5"/>
  <c r="U44" i="5"/>
  <c r="BD130" i="5"/>
  <c r="BE130" i="5"/>
  <c r="BD51" i="5"/>
  <c r="BE51" i="5"/>
  <c r="BD62" i="5"/>
  <c r="BE62" i="5"/>
  <c r="BE102" i="5"/>
  <c r="BD102" i="5"/>
  <c r="BD156" i="5"/>
  <c r="BE156" i="5"/>
  <c r="BD84" i="5"/>
  <c r="BE84" i="5"/>
  <c r="BD183" i="5"/>
  <c r="BE183" i="5"/>
  <c r="BE181" i="5"/>
  <c r="BD181" i="5"/>
  <c r="BD189" i="5"/>
  <c r="BE189" i="5"/>
  <c r="BE243" i="5"/>
  <c r="BD243" i="5"/>
  <c r="BD230" i="5"/>
  <c r="BE230" i="5"/>
  <c r="BD205" i="5"/>
  <c r="BE205" i="5"/>
  <c r="BD282" i="5"/>
  <c r="BE282" i="5"/>
  <c r="BD200" i="5"/>
  <c r="BE200" i="5"/>
  <c r="BD354" i="5"/>
  <c r="BE354" i="5"/>
  <c r="BD226" i="5"/>
  <c r="BE226" i="5"/>
  <c r="BD373" i="5"/>
  <c r="BE373" i="5"/>
  <c r="BD256" i="5"/>
  <c r="BE256" i="5"/>
  <c r="BD481" i="5"/>
  <c r="BE481" i="5"/>
  <c r="BE522" i="5"/>
  <c r="BD522" i="5"/>
  <c r="BD357" i="5"/>
  <c r="BE357" i="5"/>
  <c r="BE422" i="5"/>
  <c r="BD422" i="5"/>
  <c r="BD458" i="5"/>
  <c r="BE458" i="5"/>
  <c r="BD423" i="5"/>
  <c r="BE423" i="5"/>
  <c r="BD480" i="5"/>
  <c r="BE480" i="5"/>
  <c r="BD520" i="5"/>
  <c r="BE520" i="5"/>
  <c r="BD511" i="5"/>
  <c r="BE511" i="5"/>
  <c r="BE503" i="5"/>
  <c r="BD503" i="5"/>
  <c r="BD538" i="5"/>
  <c r="BE538" i="5"/>
  <c r="BD64" i="5"/>
  <c r="BE64" i="5"/>
  <c r="BD217" i="5"/>
  <c r="BE217" i="5"/>
  <c r="BE47" i="5"/>
  <c r="BD47" i="5"/>
  <c r="BD65" i="5"/>
  <c r="BE65" i="5"/>
  <c r="BD55" i="5"/>
  <c r="BE55" i="5"/>
  <c r="BE121" i="5"/>
  <c r="BD121" i="5"/>
  <c r="BD92" i="5"/>
  <c r="BE92" i="5"/>
  <c r="BD139" i="5"/>
  <c r="BE139" i="5"/>
  <c r="BE177" i="5"/>
  <c r="BD177" i="5"/>
  <c r="BE182" i="5"/>
  <c r="BD182" i="5"/>
  <c r="BE133" i="5"/>
  <c r="BD133" i="5"/>
  <c r="BE190" i="5"/>
  <c r="BD190" i="5"/>
  <c r="BE239" i="5"/>
  <c r="BD239" i="5"/>
  <c r="BE159" i="5"/>
  <c r="BD159" i="5"/>
  <c r="BE240" i="5"/>
  <c r="BD240" i="5"/>
  <c r="BE257" i="5"/>
  <c r="BD257" i="5"/>
  <c r="BE210" i="5"/>
  <c r="BD210" i="5"/>
  <c r="BD261" i="5"/>
  <c r="BE261" i="5"/>
  <c r="BD296" i="5"/>
  <c r="BE296" i="5"/>
  <c r="BD336" i="5"/>
  <c r="BE336" i="5"/>
  <c r="BE421" i="5"/>
  <c r="BD421" i="5"/>
  <c r="BD340" i="5"/>
  <c r="BE340" i="5"/>
  <c r="BD368" i="5"/>
  <c r="BE368" i="5"/>
  <c r="BD386" i="5"/>
  <c r="BE386" i="5"/>
  <c r="BE347" i="5"/>
  <c r="BD347" i="5"/>
  <c r="BD402" i="5"/>
  <c r="BE402" i="5"/>
  <c r="BD417" i="5"/>
  <c r="BE417" i="5"/>
  <c r="BD412" i="5"/>
  <c r="BE412" i="5"/>
  <c r="BD510" i="5"/>
  <c r="BE510" i="5"/>
  <c r="BD447" i="5"/>
  <c r="BE447" i="5"/>
  <c r="BD460" i="5"/>
  <c r="BE460" i="5"/>
  <c r="BD117" i="5"/>
  <c r="BE117" i="5"/>
  <c r="AG500" i="5" l="1"/>
  <c r="AG515" i="5"/>
  <c r="AG469" i="5"/>
  <c r="AG254" i="5"/>
  <c r="AG488" i="5"/>
  <c r="AG253" i="5"/>
  <c r="AJ73" i="4"/>
  <c r="AL73" i="4"/>
  <c r="AJ155" i="4"/>
  <c r="AL155" i="4"/>
  <c r="AJ142" i="4"/>
  <c r="AL142" i="4"/>
  <c r="AL104" i="4"/>
  <c r="AJ104" i="4"/>
  <c r="AL144" i="4"/>
  <c r="AJ144" i="4"/>
  <c r="AJ105" i="4"/>
  <c r="AL105" i="4"/>
  <c r="AJ59" i="4"/>
  <c r="AL59" i="4"/>
  <c r="AJ78" i="4"/>
  <c r="AL78" i="4"/>
  <c r="AJ58" i="4"/>
  <c r="AL58" i="4"/>
  <c r="AJ46" i="4"/>
  <c r="AL46" i="4"/>
  <c r="AJ34" i="4"/>
  <c r="AL34" i="4"/>
  <c r="AJ22" i="4"/>
  <c r="AL22" i="4"/>
  <c r="AS73" i="4"/>
  <c r="AL12" i="4"/>
  <c r="AJ12" i="4"/>
  <c r="AL152" i="4"/>
  <c r="AJ152" i="4"/>
  <c r="AL136" i="4"/>
  <c r="AJ136" i="4"/>
  <c r="AJ103" i="4"/>
  <c r="AL103" i="4"/>
  <c r="AJ140" i="4"/>
  <c r="AL140" i="4"/>
  <c r="AL100" i="4"/>
  <c r="AJ100" i="4"/>
  <c r="AJ137" i="4"/>
  <c r="AL137" i="4"/>
  <c r="AJ74" i="4"/>
  <c r="AL74" i="4"/>
  <c r="AJ57" i="4"/>
  <c r="AL57" i="4"/>
  <c r="AJ45" i="4"/>
  <c r="AL45" i="4"/>
  <c r="AJ33" i="4"/>
  <c r="AL33" i="4"/>
  <c r="AJ21" i="4"/>
  <c r="AL21" i="4"/>
  <c r="AS104" i="4"/>
  <c r="AS74" i="4"/>
  <c r="AJ154" i="4"/>
  <c r="AL154" i="4"/>
  <c r="AJ141" i="4"/>
  <c r="AL141" i="4"/>
  <c r="AJ127" i="4"/>
  <c r="AL127" i="4"/>
  <c r="AJ95" i="4"/>
  <c r="AL95" i="4"/>
  <c r="AJ139" i="4"/>
  <c r="AL139" i="4"/>
  <c r="AL96" i="4"/>
  <c r="AJ96" i="4"/>
  <c r="AL128" i="4"/>
  <c r="AJ128" i="4"/>
  <c r="AL68" i="4"/>
  <c r="AJ68" i="4"/>
  <c r="AJ56" i="4"/>
  <c r="AL56" i="4"/>
  <c r="AL44" i="4"/>
  <c r="AJ44" i="4"/>
  <c r="AJ32" i="4"/>
  <c r="AL32" i="4"/>
  <c r="AL20" i="4"/>
  <c r="AJ20" i="4"/>
  <c r="AS152" i="4"/>
  <c r="AS128" i="4"/>
  <c r="AJ151" i="4"/>
  <c r="AL151" i="4"/>
  <c r="AJ138" i="4"/>
  <c r="AL138" i="4"/>
  <c r="AJ115" i="4"/>
  <c r="AL115" i="4"/>
  <c r="AJ91" i="4"/>
  <c r="AL91" i="4"/>
  <c r="AJ135" i="4"/>
  <c r="AL135" i="4"/>
  <c r="AL92" i="4"/>
  <c r="AJ92" i="4"/>
  <c r="AJ119" i="4"/>
  <c r="AL119" i="4"/>
  <c r="AJ134" i="4"/>
  <c r="AL134" i="4"/>
  <c r="AJ55" i="4"/>
  <c r="AL55" i="4"/>
  <c r="AJ43" i="4"/>
  <c r="AL43" i="4"/>
  <c r="AJ31" i="4"/>
  <c r="AL31" i="4"/>
  <c r="AJ19" i="4"/>
  <c r="AL19" i="4"/>
  <c r="AS22" i="4"/>
  <c r="AS43" i="4"/>
  <c r="AS32" i="4"/>
  <c r="AS127" i="4"/>
  <c r="AJ11" i="4"/>
  <c r="AL11" i="4"/>
  <c r="AL148" i="4"/>
  <c r="AJ148" i="4"/>
  <c r="AJ118" i="4"/>
  <c r="AL118" i="4"/>
  <c r="AJ107" i="4"/>
  <c r="AL107" i="4"/>
  <c r="AJ83" i="4"/>
  <c r="AL83" i="4"/>
  <c r="AJ126" i="4"/>
  <c r="AL126" i="4"/>
  <c r="AL88" i="4"/>
  <c r="AJ88" i="4"/>
  <c r="AJ110" i="4"/>
  <c r="AL110" i="4"/>
  <c r="AJ130" i="4"/>
  <c r="AL130" i="4"/>
  <c r="AJ54" i="4"/>
  <c r="AL54" i="4"/>
  <c r="AJ42" i="4"/>
  <c r="AL42" i="4"/>
  <c r="AJ30" i="4"/>
  <c r="AL30" i="4"/>
  <c r="AJ18" i="4"/>
  <c r="AL18" i="4"/>
  <c r="AS115" i="4"/>
  <c r="AS78" i="4"/>
  <c r="AS83" i="4"/>
  <c r="AS91" i="4"/>
  <c r="AS46" i="4"/>
  <c r="AS88" i="4"/>
  <c r="AS45" i="4"/>
  <c r="AS130" i="4"/>
  <c r="AJ157" i="4"/>
  <c r="AL157" i="4"/>
  <c r="AJ147" i="4"/>
  <c r="AL147" i="4"/>
  <c r="AJ114" i="4"/>
  <c r="AL114" i="4"/>
  <c r="AJ93" i="4"/>
  <c r="AL93" i="4"/>
  <c r="AJ79" i="4"/>
  <c r="AL79" i="4"/>
  <c r="AJ125" i="4"/>
  <c r="AL125" i="4"/>
  <c r="AL84" i="4"/>
  <c r="AJ84" i="4"/>
  <c r="AJ109" i="4"/>
  <c r="AL109" i="4"/>
  <c r="AL120" i="4"/>
  <c r="AJ120" i="4"/>
  <c r="AJ53" i="4"/>
  <c r="AL53" i="4"/>
  <c r="AJ41" i="4"/>
  <c r="AL41" i="4"/>
  <c r="AJ29" i="4"/>
  <c r="AL29" i="4"/>
  <c r="AJ17" i="4"/>
  <c r="AL17" i="4"/>
  <c r="AS118" i="4"/>
  <c r="AS126" i="4"/>
  <c r="AS134" i="4"/>
  <c r="AS139" i="4"/>
  <c r="AS136" i="4"/>
  <c r="AS93" i="4"/>
  <c r="AS135" i="4"/>
  <c r="AJ150" i="4"/>
  <c r="AL150" i="4"/>
  <c r="AJ117" i="4"/>
  <c r="AL117" i="4"/>
  <c r="AJ97" i="4"/>
  <c r="AL97" i="4"/>
  <c r="AJ77" i="4"/>
  <c r="AL77" i="4"/>
  <c r="AJ75" i="4"/>
  <c r="AL75" i="4"/>
  <c r="AL124" i="4"/>
  <c r="AJ124" i="4"/>
  <c r="AJ80" i="4"/>
  <c r="AL80" i="4"/>
  <c r="AJ102" i="4"/>
  <c r="AL102" i="4"/>
  <c r="AJ99" i="4"/>
  <c r="AL99" i="4"/>
  <c r="AL52" i="4"/>
  <c r="AJ52" i="4"/>
  <c r="AJ40" i="4"/>
  <c r="AL40" i="4"/>
  <c r="AL28" i="4"/>
  <c r="AJ28" i="4"/>
  <c r="AL16" i="4"/>
  <c r="AJ16" i="4"/>
  <c r="AS16" i="4"/>
  <c r="AS29" i="4"/>
  <c r="AS31" i="4"/>
  <c r="AS33" i="4"/>
  <c r="AS142" i="4"/>
  <c r="AS141" i="4"/>
  <c r="AS96" i="4"/>
  <c r="AS53" i="4"/>
  <c r="AJ146" i="4"/>
  <c r="AL146" i="4"/>
  <c r="AJ113" i="4"/>
  <c r="AL113" i="4"/>
  <c r="AJ81" i="4"/>
  <c r="AL81" i="4"/>
  <c r="AJ133" i="4"/>
  <c r="AL133" i="4"/>
  <c r="AJ70" i="4"/>
  <c r="AL70" i="4"/>
  <c r="AJ123" i="4"/>
  <c r="AL123" i="4"/>
  <c r="AL76" i="4"/>
  <c r="AJ76" i="4"/>
  <c r="AJ98" i="4"/>
  <c r="AL98" i="4"/>
  <c r="AJ87" i="4"/>
  <c r="AL87" i="4"/>
  <c r="AJ51" i="4"/>
  <c r="AL51" i="4"/>
  <c r="AJ39" i="4"/>
  <c r="AL39" i="4"/>
  <c r="AJ27" i="4"/>
  <c r="AL27" i="4"/>
  <c r="AJ64" i="4"/>
  <c r="AL64" i="4"/>
  <c r="AS81" i="4"/>
  <c r="AS30" i="4"/>
  <c r="AS34" i="4"/>
  <c r="AS44" i="4"/>
  <c r="AS52" i="4"/>
  <c r="AS57" i="4"/>
  <c r="AS39" i="4"/>
  <c r="AS99" i="4"/>
  <c r="AS54" i="4"/>
  <c r="AS144" i="4"/>
  <c r="AJ143" i="4"/>
  <c r="AL143" i="4"/>
  <c r="AJ101" i="4"/>
  <c r="AL101" i="4"/>
  <c r="AJ10" i="4"/>
  <c r="AL10" i="4"/>
  <c r="AL132" i="4"/>
  <c r="AJ132" i="4"/>
  <c r="AJ61" i="4"/>
  <c r="AL61" i="4"/>
  <c r="AJ122" i="4"/>
  <c r="AL122" i="4"/>
  <c r="AJ72" i="4"/>
  <c r="AL72" i="4"/>
  <c r="AJ94" i="4"/>
  <c r="AL94" i="4"/>
  <c r="AJ69" i="4"/>
  <c r="AL69" i="4"/>
  <c r="AJ50" i="4"/>
  <c r="AL50" i="4"/>
  <c r="AJ38" i="4"/>
  <c r="AL38" i="4"/>
  <c r="AJ26" i="4"/>
  <c r="AL26" i="4"/>
  <c r="AJ63" i="4"/>
  <c r="AL63" i="4"/>
  <c r="AS84" i="4"/>
  <c r="AS92" i="4"/>
  <c r="AS97" i="4"/>
  <c r="AS100" i="4"/>
  <c r="AS105" i="4"/>
  <c r="AS17" i="4"/>
  <c r="AS147" i="4"/>
  <c r="AS102" i="4"/>
  <c r="AS59" i="4"/>
  <c r="AL116" i="4"/>
  <c r="AJ116" i="4"/>
  <c r="AJ85" i="4"/>
  <c r="AL85" i="4"/>
  <c r="AJ9" i="4"/>
  <c r="AL9" i="4"/>
  <c r="AJ131" i="4"/>
  <c r="AL131" i="4"/>
  <c r="AJ8" i="4"/>
  <c r="AL8" i="4"/>
  <c r="AJ121" i="4"/>
  <c r="AL121" i="4"/>
  <c r="AJ71" i="4"/>
  <c r="AL71" i="4"/>
  <c r="AJ90" i="4"/>
  <c r="AL90" i="4"/>
  <c r="AJ62" i="4"/>
  <c r="AL62" i="4"/>
  <c r="AJ49" i="4"/>
  <c r="AL49" i="4"/>
  <c r="AJ37" i="4"/>
  <c r="AL37" i="4"/>
  <c r="AJ25" i="4"/>
  <c r="AL25" i="4"/>
  <c r="AJ15" i="4"/>
  <c r="AL15" i="4"/>
  <c r="AS42" i="4"/>
  <c r="AS132" i="4"/>
  <c r="AS137" i="4"/>
  <c r="AS140" i="4"/>
  <c r="AS148" i="4"/>
  <c r="AS41" i="4"/>
  <c r="AS19" i="4"/>
  <c r="AS150" i="4"/>
  <c r="AS107" i="4"/>
  <c r="AS62" i="4"/>
  <c r="AJ108" i="4"/>
  <c r="AL108" i="4"/>
  <c r="AJ14" i="4"/>
  <c r="AL14" i="4"/>
  <c r="AL156" i="4"/>
  <c r="AJ156" i="4"/>
  <c r="AL129" i="4"/>
  <c r="AJ129" i="4"/>
  <c r="AL153" i="4"/>
  <c r="AJ153" i="4"/>
  <c r="AL112" i="4"/>
  <c r="AJ112" i="4"/>
  <c r="AJ66" i="4"/>
  <c r="AL66" i="4"/>
  <c r="AJ86" i="4"/>
  <c r="AL86" i="4"/>
  <c r="AJ67" i="4"/>
  <c r="AL67" i="4"/>
  <c r="AJ48" i="4"/>
  <c r="AL48" i="4"/>
  <c r="AL36" i="4"/>
  <c r="AJ36" i="4"/>
  <c r="AJ24" i="4"/>
  <c r="AL24" i="4"/>
  <c r="AS90" i="4"/>
  <c r="AS50" i="4"/>
  <c r="AS55" i="4"/>
  <c r="AS58" i="4"/>
  <c r="AS63" i="4"/>
  <c r="AS66" i="4"/>
  <c r="AS156" i="4"/>
  <c r="AS20" i="4"/>
  <c r="AS21" i="4"/>
  <c r="AS155" i="4"/>
  <c r="AS110" i="4"/>
  <c r="AJ89" i="4"/>
  <c r="AL89" i="4"/>
  <c r="AJ13" i="4"/>
  <c r="AL13" i="4"/>
  <c r="AL145" i="4"/>
  <c r="AJ145" i="4"/>
  <c r="AJ111" i="4"/>
  <c r="AL111" i="4"/>
  <c r="AJ149" i="4"/>
  <c r="AL149" i="4"/>
  <c r="AJ106" i="4"/>
  <c r="AL106" i="4"/>
  <c r="AJ65" i="4"/>
  <c r="AL65" i="4"/>
  <c r="AJ82" i="4"/>
  <c r="AL82" i="4"/>
  <c r="AL60" i="4"/>
  <c r="AJ60" i="4"/>
  <c r="AJ47" i="4"/>
  <c r="AL47" i="4"/>
  <c r="AJ35" i="4"/>
  <c r="AL35" i="4"/>
  <c r="AJ23" i="4"/>
  <c r="AL23" i="4"/>
  <c r="AS138" i="4"/>
  <c r="AS95" i="4"/>
  <c r="AS98" i="4"/>
  <c r="AS103" i="4"/>
  <c r="AS106" i="4"/>
  <c r="AS111" i="4"/>
  <c r="AS114" i="4"/>
  <c r="AS71" i="4"/>
  <c r="AS113" i="4"/>
  <c r="AS68" i="4"/>
  <c r="AS28" i="4"/>
  <c r="AS23" i="4"/>
  <c r="AS8" i="4"/>
  <c r="B206" i="2"/>
  <c r="B208" i="2" s="1"/>
  <c r="B139" i="2"/>
  <c r="AM136" i="4"/>
  <c r="AN136" i="4" s="1"/>
  <c r="AQ136" i="4"/>
  <c r="V136" i="4"/>
  <c r="AM104" i="4"/>
  <c r="AN104" i="4" s="1"/>
  <c r="AQ104" i="4"/>
  <c r="V104" i="4"/>
  <c r="AM72" i="4"/>
  <c r="AQ72" i="4"/>
  <c r="V72" i="4"/>
  <c r="AM36" i="4"/>
  <c r="AQ36" i="4"/>
  <c r="V36" i="4"/>
  <c r="AM15" i="4"/>
  <c r="AN15" i="4" s="1"/>
  <c r="AQ15" i="4"/>
  <c r="V15" i="4"/>
  <c r="AM138" i="4"/>
  <c r="AN138" i="4" s="1"/>
  <c r="V138" i="4"/>
  <c r="AQ138" i="4"/>
  <c r="AM106" i="4"/>
  <c r="AQ106" i="4"/>
  <c r="V106" i="4"/>
  <c r="AM74" i="4"/>
  <c r="AQ74" i="4"/>
  <c r="V74" i="4"/>
  <c r="AM42" i="4"/>
  <c r="AN42" i="4" s="1"/>
  <c r="AQ42" i="4"/>
  <c r="V42" i="4"/>
  <c r="AM24" i="4"/>
  <c r="AQ24" i="4"/>
  <c r="V24" i="4"/>
  <c r="AM148" i="4"/>
  <c r="AQ148" i="4"/>
  <c r="V148" i="4"/>
  <c r="AM116" i="4"/>
  <c r="AQ116" i="4"/>
  <c r="V116" i="4"/>
  <c r="AM84" i="4"/>
  <c r="AN84" i="4" s="1"/>
  <c r="AQ84" i="4"/>
  <c r="V84" i="4"/>
  <c r="AM52" i="4"/>
  <c r="AQ52" i="4"/>
  <c r="V52" i="4"/>
  <c r="AM27" i="4"/>
  <c r="AQ27" i="4"/>
  <c r="V27" i="4"/>
  <c r="AM150" i="4"/>
  <c r="AQ150" i="4"/>
  <c r="V150" i="4"/>
  <c r="AM118" i="4"/>
  <c r="AN118" i="4" s="1"/>
  <c r="V118" i="4"/>
  <c r="AQ118" i="4"/>
  <c r="AM86" i="4"/>
  <c r="AQ86" i="4"/>
  <c r="V86" i="4"/>
  <c r="AQ54" i="4"/>
  <c r="AM54" i="4"/>
  <c r="V54" i="4"/>
  <c r="AM26" i="4"/>
  <c r="AQ26" i="4"/>
  <c r="V26" i="4"/>
  <c r="AM11" i="4"/>
  <c r="AQ11" i="4"/>
  <c r="V11" i="4"/>
  <c r="AM153" i="4"/>
  <c r="AQ153" i="4"/>
  <c r="V153" i="4"/>
  <c r="AM145" i="4"/>
  <c r="AQ145" i="4"/>
  <c r="V145" i="4"/>
  <c r="AM137" i="4"/>
  <c r="AN137" i="4" s="1"/>
  <c r="AQ137" i="4"/>
  <c r="V137" i="4"/>
  <c r="AM129" i="4"/>
  <c r="AQ129" i="4"/>
  <c r="V129" i="4"/>
  <c r="AM121" i="4"/>
  <c r="AQ121" i="4"/>
  <c r="V121" i="4"/>
  <c r="AM113" i="4"/>
  <c r="AN113" i="4" s="1"/>
  <c r="AQ113" i="4"/>
  <c r="V113" i="4"/>
  <c r="AM105" i="4"/>
  <c r="AQ105" i="4"/>
  <c r="V105" i="4"/>
  <c r="AM97" i="4"/>
  <c r="AQ97" i="4"/>
  <c r="V97" i="4"/>
  <c r="AM89" i="4"/>
  <c r="AQ89" i="4"/>
  <c r="V89" i="4"/>
  <c r="AM81" i="4"/>
  <c r="AN81" i="4" s="1"/>
  <c r="AQ81" i="4"/>
  <c r="V81" i="4"/>
  <c r="AM73" i="4"/>
  <c r="AN73" i="4" s="1"/>
  <c r="AQ73" i="4"/>
  <c r="V73" i="4"/>
  <c r="AM65" i="4"/>
  <c r="AN65" i="4" s="1"/>
  <c r="AQ65" i="4"/>
  <c r="V65" i="4"/>
  <c r="AM57" i="4"/>
  <c r="AN57" i="4" s="1"/>
  <c r="AQ57" i="4"/>
  <c r="V57" i="4"/>
  <c r="AM49" i="4"/>
  <c r="AN49" i="4" s="1"/>
  <c r="AQ49" i="4"/>
  <c r="V49" i="4"/>
  <c r="AM41" i="4"/>
  <c r="AQ41" i="4"/>
  <c r="V41" i="4"/>
  <c r="AM25" i="4"/>
  <c r="AN25" i="4" s="1"/>
  <c r="AQ25" i="4"/>
  <c r="V25" i="4"/>
  <c r="AM7" i="4"/>
  <c r="V7" i="4"/>
  <c r="AM10" i="4"/>
  <c r="AN10" i="4" s="1"/>
  <c r="AQ10" i="4"/>
  <c r="V10" i="4"/>
  <c r="AM128" i="4"/>
  <c r="AQ128" i="4"/>
  <c r="V128" i="4"/>
  <c r="AM96" i="4"/>
  <c r="AQ96" i="4"/>
  <c r="V96" i="4"/>
  <c r="AM64" i="4"/>
  <c r="AQ64" i="4"/>
  <c r="V64" i="4"/>
  <c r="AM32" i="4"/>
  <c r="AQ32" i="4"/>
  <c r="V32" i="4"/>
  <c r="AM12" i="4"/>
  <c r="AQ12" i="4"/>
  <c r="V12" i="4"/>
  <c r="AM130" i="4"/>
  <c r="AN130" i="4" s="1"/>
  <c r="AQ130" i="4"/>
  <c r="V130" i="4"/>
  <c r="AM98" i="4"/>
  <c r="AN98" i="4" s="1"/>
  <c r="AQ98" i="4"/>
  <c r="V98" i="4"/>
  <c r="AM66" i="4"/>
  <c r="AN66" i="4" s="1"/>
  <c r="AQ66" i="4"/>
  <c r="V66" i="4"/>
  <c r="AM39" i="4"/>
  <c r="AN39" i="4" s="1"/>
  <c r="AQ39" i="4"/>
  <c r="V39" i="4"/>
  <c r="AM21" i="4"/>
  <c r="AQ21" i="4"/>
  <c r="V21" i="4"/>
  <c r="AM140" i="4"/>
  <c r="V140" i="4"/>
  <c r="AQ140" i="4"/>
  <c r="AM108" i="4"/>
  <c r="AN108" i="4" s="1"/>
  <c r="AQ108" i="4"/>
  <c r="V108" i="4"/>
  <c r="AM76" i="4"/>
  <c r="AN76" i="4" s="1"/>
  <c r="AQ76" i="4"/>
  <c r="V76" i="4"/>
  <c r="AM44" i="4"/>
  <c r="AQ44" i="4"/>
  <c r="V44" i="4"/>
  <c r="AM20" i="4"/>
  <c r="AQ20" i="4"/>
  <c r="V20" i="4"/>
  <c r="AM142" i="4"/>
  <c r="AN142" i="4" s="1"/>
  <c r="AQ142" i="4"/>
  <c r="V142" i="4"/>
  <c r="AM110" i="4"/>
  <c r="AQ110" i="4"/>
  <c r="V110" i="4"/>
  <c r="AM78" i="4"/>
  <c r="AQ78" i="4"/>
  <c r="V78" i="4"/>
  <c r="AM46" i="4"/>
  <c r="AN46" i="4" s="1"/>
  <c r="AQ46" i="4"/>
  <c r="V46" i="4"/>
  <c r="AM23" i="4"/>
  <c r="AQ23" i="4"/>
  <c r="V23" i="4"/>
  <c r="AM9" i="4"/>
  <c r="AN9" i="4" s="1"/>
  <c r="AQ9" i="4"/>
  <c r="V9" i="4"/>
  <c r="AM151" i="4"/>
  <c r="AN151" i="4" s="1"/>
  <c r="V151" i="4"/>
  <c r="AQ151" i="4"/>
  <c r="AM143" i="4"/>
  <c r="AQ143" i="4"/>
  <c r="V143" i="4"/>
  <c r="AM135" i="4"/>
  <c r="AN135" i="4" s="1"/>
  <c r="V135" i="4"/>
  <c r="AQ135" i="4"/>
  <c r="AM127" i="4"/>
  <c r="AN127" i="4" s="1"/>
  <c r="AQ127" i="4"/>
  <c r="V127" i="4"/>
  <c r="AM119" i="4"/>
  <c r="AN119" i="4" s="1"/>
  <c r="AQ119" i="4"/>
  <c r="V119" i="4"/>
  <c r="AM111" i="4"/>
  <c r="AN111" i="4" s="1"/>
  <c r="AQ111" i="4"/>
  <c r="V111" i="4"/>
  <c r="AM103" i="4"/>
  <c r="AN103" i="4" s="1"/>
  <c r="AQ103" i="4"/>
  <c r="V103" i="4"/>
  <c r="AM95" i="4"/>
  <c r="AN95" i="4" s="1"/>
  <c r="AQ95" i="4"/>
  <c r="V95" i="4"/>
  <c r="AM87" i="4"/>
  <c r="AN87" i="4" s="1"/>
  <c r="AQ87" i="4"/>
  <c r="V87" i="4"/>
  <c r="AM79" i="4"/>
  <c r="AQ79" i="4"/>
  <c r="V79" i="4"/>
  <c r="AM71" i="4"/>
  <c r="AN71" i="4" s="1"/>
  <c r="AQ71" i="4"/>
  <c r="V71" i="4"/>
  <c r="AM63" i="4"/>
  <c r="AQ63" i="4"/>
  <c r="V63" i="4"/>
  <c r="AM55" i="4"/>
  <c r="AQ55" i="4"/>
  <c r="V55" i="4"/>
  <c r="AM47" i="4"/>
  <c r="AN47" i="4" s="1"/>
  <c r="AQ47" i="4"/>
  <c r="V47" i="4"/>
  <c r="AM38" i="4"/>
  <c r="AQ38" i="4"/>
  <c r="V38" i="4"/>
  <c r="AM22" i="4"/>
  <c r="AQ22" i="4"/>
  <c r="V22" i="4"/>
  <c r="AM152" i="4"/>
  <c r="AQ152" i="4"/>
  <c r="V152" i="4"/>
  <c r="AM120" i="4"/>
  <c r="V120" i="4"/>
  <c r="AQ120" i="4"/>
  <c r="AM88" i="4"/>
  <c r="AN88" i="4" s="1"/>
  <c r="AQ88" i="4"/>
  <c r="V88" i="4"/>
  <c r="AM56" i="4"/>
  <c r="AN56" i="4" s="1"/>
  <c r="AQ56" i="4"/>
  <c r="V56" i="4"/>
  <c r="AM29" i="4"/>
  <c r="AN29" i="4" s="1"/>
  <c r="AQ29" i="4"/>
  <c r="V29" i="4"/>
  <c r="AM154" i="4"/>
  <c r="AQ154" i="4"/>
  <c r="V154" i="4"/>
  <c r="AM122" i="4"/>
  <c r="V122" i="4"/>
  <c r="AQ122" i="4"/>
  <c r="AM90" i="4"/>
  <c r="AQ90" i="4"/>
  <c r="V90" i="4"/>
  <c r="AM58" i="4"/>
  <c r="AN58" i="4" s="1"/>
  <c r="AQ58" i="4"/>
  <c r="V58" i="4"/>
  <c r="AM35" i="4"/>
  <c r="AN35" i="4" s="1"/>
  <c r="AQ35" i="4"/>
  <c r="V35" i="4"/>
  <c r="AM14" i="4"/>
  <c r="AQ14" i="4"/>
  <c r="V14" i="4"/>
  <c r="AM132" i="4"/>
  <c r="AN132" i="4" s="1"/>
  <c r="AQ132" i="4"/>
  <c r="V132" i="4"/>
  <c r="AM100" i="4"/>
  <c r="AQ100" i="4"/>
  <c r="V100" i="4"/>
  <c r="AM68" i="4"/>
  <c r="AN68" i="4" s="1"/>
  <c r="AQ68" i="4"/>
  <c r="V68" i="4"/>
  <c r="AM34" i="4"/>
  <c r="AN34" i="4" s="1"/>
  <c r="AQ34" i="4"/>
  <c r="V34" i="4"/>
  <c r="AM16" i="4"/>
  <c r="AQ16" i="4"/>
  <c r="V16" i="4"/>
  <c r="AM134" i="4"/>
  <c r="AN134" i="4" s="1"/>
  <c r="AQ134" i="4"/>
  <c r="V134" i="4"/>
  <c r="AM102" i="4"/>
  <c r="AN102" i="4" s="1"/>
  <c r="AQ102" i="4"/>
  <c r="V102" i="4"/>
  <c r="AM70" i="4"/>
  <c r="AQ70" i="4"/>
  <c r="V70" i="4"/>
  <c r="AM40" i="4"/>
  <c r="AQ40" i="4"/>
  <c r="V40" i="4"/>
  <c r="AM19" i="4"/>
  <c r="AQ19" i="4"/>
  <c r="V19" i="4"/>
  <c r="AM157" i="4"/>
  <c r="AN157" i="4" s="1"/>
  <c r="AQ157" i="4"/>
  <c r="V157" i="4"/>
  <c r="AM149" i="4"/>
  <c r="AN149" i="4" s="1"/>
  <c r="AQ149" i="4"/>
  <c r="V149" i="4"/>
  <c r="AM141" i="4"/>
  <c r="AN141" i="4" s="1"/>
  <c r="AQ141" i="4"/>
  <c r="V141" i="4"/>
  <c r="AM133" i="4"/>
  <c r="AQ133" i="4"/>
  <c r="V133" i="4"/>
  <c r="AM125" i="4"/>
  <c r="AN125" i="4" s="1"/>
  <c r="V125" i="4"/>
  <c r="AQ125" i="4"/>
  <c r="AM117" i="4"/>
  <c r="AN117" i="4" s="1"/>
  <c r="AQ117" i="4"/>
  <c r="V117" i="4"/>
  <c r="AM109" i="4"/>
  <c r="AN109" i="4" s="1"/>
  <c r="AQ109" i="4"/>
  <c r="V109" i="4"/>
  <c r="AM101" i="4"/>
  <c r="AN101" i="4" s="1"/>
  <c r="AQ101" i="4"/>
  <c r="V101" i="4"/>
  <c r="AM93" i="4"/>
  <c r="AN93" i="4" s="1"/>
  <c r="AQ93" i="4"/>
  <c r="V93" i="4"/>
  <c r="AM85" i="4"/>
  <c r="AQ85" i="4"/>
  <c r="V85" i="4"/>
  <c r="AM77" i="4"/>
  <c r="AN77" i="4" s="1"/>
  <c r="AQ77" i="4"/>
  <c r="V77" i="4"/>
  <c r="AM69" i="4"/>
  <c r="AN69" i="4" s="1"/>
  <c r="AQ69" i="4"/>
  <c r="V69" i="4"/>
  <c r="AM61" i="4"/>
  <c r="AQ61" i="4"/>
  <c r="V61" i="4"/>
  <c r="AM53" i="4"/>
  <c r="AN53" i="4" s="1"/>
  <c r="AQ53" i="4"/>
  <c r="V53" i="4"/>
  <c r="AM45" i="4"/>
  <c r="AN45" i="4" s="1"/>
  <c r="AQ45" i="4"/>
  <c r="V45" i="4"/>
  <c r="AM33" i="4"/>
  <c r="AQ33" i="4"/>
  <c r="V33" i="4"/>
  <c r="AM17" i="4"/>
  <c r="AN17" i="4" s="1"/>
  <c r="AQ17" i="4"/>
  <c r="V17" i="4"/>
  <c r="AM144" i="4"/>
  <c r="AN144" i="4" s="1"/>
  <c r="AQ144" i="4"/>
  <c r="V144" i="4"/>
  <c r="AM112" i="4"/>
  <c r="AN112" i="4" s="1"/>
  <c r="AQ112" i="4"/>
  <c r="V112" i="4"/>
  <c r="AM80" i="4"/>
  <c r="AN80" i="4" s="1"/>
  <c r="AQ80" i="4"/>
  <c r="V80" i="4"/>
  <c r="AM48" i="4"/>
  <c r="AN48" i="4" s="1"/>
  <c r="AQ48" i="4"/>
  <c r="V48" i="4"/>
  <c r="AM18" i="4"/>
  <c r="AQ18" i="4"/>
  <c r="V18" i="4"/>
  <c r="AM146" i="4"/>
  <c r="AQ146" i="4"/>
  <c r="V146" i="4"/>
  <c r="AM114" i="4"/>
  <c r="AQ114" i="4"/>
  <c r="V114" i="4"/>
  <c r="AM82" i="4"/>
  <c r="AQ82" i="4"/>
  <c r="V82" i="4"/>
  <c r="AM50" i="4"/>
  <c r="AN50" i="4" s="1"/>
  <c r="AQ50" i="4"/>
  <c r="V50" i="4"/>
  <c r="AM28" i="4"/>
  <c r="AN28" i="4" s="1"/>
  <c r="AQ28" i="4"/>
  <c r="V28" i="4"/>
  <c r="AM156" i="4"/>
  <c r="AN156" i="4" s="1"/>
  <c r="AQ156" i="4"/>
  <c r="V156" i="4"/>
  <c r="AM124" i="4"/>
  <c r="AN124" i="4" s="1"/>
  <c r="AQ124" i="4"/>
  <c r="V124" i="4"/>
  <c r="AM92" i="4"/>
  <c r="AQ92" i="4"/>
  <c r="V92" i="4"/>
  <c r="AM60" i="4"/>
  <c r="AQ60" i="4"/>
  <c r="V60" i="4"/>
  <c r="AM31" i="4"/>
  <c r="AN31" i="4" s="1"/>
  <c r="AQ31" i="4"/>
  <c r="V31" i="4"/>
  <c r="AM8" i="4"/>
  <c r="AQ8" i="4"/>
  <c r="V8" i="4"/>
  <c r="AM126" i="4"/>
  <c r="AN126" i="4" s="1"/>
  <c r="AQ126" i="4"/>
  <c r="V126" i="4"/>
  <c r="AM94" i="4"/>
  <c r="AN94" i="4" s="1"/>
  <c r="AQ94" i="4"/>
  <c r="V94" i="4"/>
  <c r="AM62" i="4"/>
  <c r="AN62" i="4" s="1"/>
  <c r="AQ62" i="4"/>
  <c r="V62" i="4"/>
  <c r="AM37" i="4"/>
  <c r="AQ37" i="4"/>
  <c r="V37" i="4"/>
  <c r="AM13" i="4"/>
  <c r="AQ13" i="4"/>
  <c r="V13" i="4"/>
  <c r="AM155" i="4"/>
  <c r="AQ155" i="4"/>
  <c r="V155" i="4"/>
  <c r="AM147" i="4"/>
  <c r="AQ147" i="4"/>
  <c r="V147" i="4"/>
  <c r="AM139" i="4"/>
  <c r="AQ139" i="4"/>
  <c r="V139" i="4"/>
  <c r="AM131" i="4"/>
  <c r="AN131" i="4" s="1"/>
  <c r="AQ131" i="4"/>
  <c r="V131" i="4"/>
  <c r="AM123" i="4"/>
  <c r="AQ123" i="4"/>
  <c r="V123" i="4"/>
  <c r="AM115" i="4"/>
  <c r="AQ115" i="4"/>
  <c r="V115" i="4"/>
  <c r="AM107" i="4"/>
  <c r="AQ107" i="4"/>
  <c r="V107" i="4"/>
  <c r="AM99" i="4"/>
  <c r="AN99" i="4" s="1"/>
  <c r="AQ99" i="4"/>
  <c r="V99" i="4"/>
  <c r="AM91" i="4"/>
  <c r="AQ91" i="4"/>
  <c r="V91" i="4"/>
  <c r="AM83" i="4"/>
  <c r="AN83" i="4" s="1"/>
  <c r="AQ83" i="4"/>
  <c r="V83" i="4"/>
  <c r="AM75" i="4"/>
  <c r="AQ75" i="4"/>
  <c r="V75" i="4"/>
  <c r="AM67" i="4"/>
  <c r="AN67" i="4" s="1"/>
  <c r="AQ67" i="4"/>
  <c r="V67" i="4"/>
  <c r="AM59" i="4"/>
  <c r="AQ59" i="4"/>
  <c r="V59" i="4"/>
  <c r="AM51" i="4"/>
  <c r="AQ51" i="4"/>
  <c r="V51" i="4"/>
  <c r="AM43" i="4"/>
  <c r="AQ43" i="4"/>
  <c r="V43" i="4"/>
  <c r="AQ30" i="4"/>
  <c r="AM30" i="4"/>
  <c r="AN30" i="4" s="1"/>
  <c r="V30" i="4"/>
  <c r="B195" i="2"/>
  <c r="Z7" i="5" s="1"/>
  <c r="B180" i="2"/>
  <c r="B186" i="2"/>
  <c r="B178" i="2"/>
  <c r="P7" i="5" s="1"/>
  <c r="AG541" i="5"/>
  <c r="AG496" i="5"/>
  <c r="AI496" i="5" s="1"/>
  <c r="AG434" i="5"/>
  <c r="AH434" i="5" s="1"/>
  <c r="AG438" i="5"/>
  <c r="AG373" i="5"/>
  <c r="AG149" i="5"/>
  <c r="AH149" i="5" s="1"/>
  <c r="AG551" i="5"/>
  <c r="AG499" i="5"/>
  <c r="AG558" i="5"/>
  <c r="AI558" i="5" s="1"/>
  <c r="AG386" i="5"/>
  <c r="AI386" i="5" s="1"/>
  <c r="AG364" i="5"/>
  <c r="AG241" i="5"/>
  <c r="AG156" i="5"/>
  <c r="AG524" i="5"/>
  <c r="AH524" i="5" s="1"/>
  <c r="AG466" i="5"/>
  <c r="AH466" i="5" s="1"/>
  <c r="AG521" i="5"/>
  <c r="AH521" i="5" s="1"/>
  <c r="AG309" i="5"/>
  <c r="AG293" i="5"/>
  <c r="AI293" i="5" s="1"/>
  <c r="AG363" i="5"/>
  <c r="B70" i="5"/>
  <c r="O11" i="5" s="1"/>
  <c r="Z11" i="5" s="1"/>
  <c r="AG8" i="5"/>
  <c r="AI8" i="5" s="1"/>
  <c r="AG35" i="5"/>
  <c r="AH35" i="5" s="1"/>
  <c r="AG26" i="5"/>
  <c r="AG34" i="5"/>
  <c r="AG42" i="5"/>
  <c r="AG32" i="5"/>
  <c r="AI32" i="5" s="1"/>
  <c r="AG48" i="5"/>
  <c r="AH48" i="5" s="1"/>
  <c r="AG46" i="5"/>
  <c r="AI46" i="5" s="1"/>
  <c r="AG63" i="5"/>
  <c r="AG71" i="5"/>
  <c r="AH71" i="5" s="1"/>
  <c r="AG83" i="5"/>
  <c r="AG105" i="5"/>
  <c r="AG121" i="5"/>
  <c r="AI121" i="5" s="1"/>
  <c r="AG137" i="5"/>
  <c r="AI137" i="5" s="1"/>
  <c r="AG152" i="5"/>
  <c r="AG168" i="5"/>
  <c r="AG193" i="5"/>
  <c r="AG57" i="5"/>
  <c r="AH57" i="5" s="1"/>
  <c r="AG91" i="5"/>
  <c r="AH91" i="5" s="1"/>
  <c r="AG102" i="5"/>
  <c r="AG118" i="5"/>
  <c r="AG144" i="5"/>
  <c r="AI144" i="5" s="1"/>
  <c r="AG154" i="5"/>
  <c r="AG162" i="5"/>
  <c r="AH162" i="5" s="1"/>
  <c r="AG182" i="5"/>
  <c r="AH182" i="5" s="1"/>
  <c r="AG61" i="5"/>
  <c r="AH61" i="5" s="1"/>
  <c r="AG78" i="5"/>
  <c r="AG87" i="5"/>
  <c r="AG97" i="5"/>
  <c r="AG113" i="5"/>
  <c r="AH113" i="5" s="1"/>
  <c r="AG136" i="5"/>
  <c r="AH136" i="5" s="1"/>
  <c r="AG163" i="5"/>
  <c r="AG180" i="5"/>
  <c r="AG49" i="5"/>
  <c r="AH49" i="5" s="1"/>
  <c r="AG12" i="5"/>
  <c r="AI12" i="5" s="1"/>
  <c r="AG23" i="5"/>
  <c r="AG21" i="5"/>
  <c r="AI21" i="5" s="1"/>
  <c r="AG29" i="5"/>
  <c r="AH29" i="5" s="1"/>
  <c r="AG37" i="5"/>
  <c r="AG20" i="5"/>
  <c r="AH20" i="5" s="1"/>
  <c r="AG36" i="5"/>
  <c r="AG51" i="5"/>
  <c r="AI51" i="5" s="1"/>
  <c r="AG58" i="5"/>
  <c r="AH58" i="5" s="1"/>
  <c r="AG66" i="5"/>
  <c r="AG74" i="5"/>
  <c r="AG88" i="5"/>
  <c r="AI88" i="5" s="1"/>
  <c r="AG106" i="5"/>
  <c r="AG122" i="5"/>
  <c r="AG148" i="5"/>
  <c r="AH148" i="5" s="1"/>
  <c r="AG158" i="5"/>
  <c r="AH158" i="5" s="1"/>
  <c r="AG186" i="5"/>
  <c r="AG45" i="5"/>
  <c r="AG77" i="5"/>
  <c r="AG96" i="5"/>
  <c r="AH96" i="5" s="1"/>
  <c r="AG112" i="5"/>
  <c r="AH112" i="5" s="1"/>
  <c r="AG127" i="5"/>
  <c r="AI127" i="5" s="1"/>
  <c r="AG145" i="5"/>
  <c r="AG157" i="5"/>
  <c r="AI157" i="5" s="1"/>
  <c r="AG174" i="5"/>
  <c r="AG43" i="5"/>
  <c r="AG65" i="5"/>
  <c r="AH65" i="5" s="1"/>
  <c r="AG79" i="5"/>
  <c r="AI79" i="5" s="1"/>
  <c r="AG89" i="5"/>
  <c r="AG98" i="5"/>
  <c r="AG114" i="5"/>
  <c r="AG146" i="5"/>
  <c r="AH146" i="5" s="1"/>
  <c r="AG164" i="5"/>
  <c r="AH164" i="5" s="1"/>
  <c r="AG183" i="5"/>
  <c r="AG55" i="5"/>
  <c r="AG72" i="5"/>
  <c r="AI72" i="5" s="1"/>
  <c r="AG93" i="5"/>
  <c r="AG109" i="5"/>
  <c r="AH109" i="5" s="1"/>
  <c r="AG125" i="5"/>
  <c r="AH125" i="5" s="1"/>
  <c r="AG133" i="5"/>
  <c r="AI133" i="5" s="1"/>
  <c r="AG141" i="5"/>
  <c r="AG161" i="5"/>
  <c r="AG172" i="5"/>
  <c r="AG181" i="5"/>
  <c r="AH181" i="5" s="1"/>
  <c r="AG192" i="5"/>
  <c r="AH192" i="5" s="1"/>
  <c r="AG201" i="5"/>
  <c r="AG217" i="5"/>
  <c r="AG232" i="5"/>
  <c r="AI232" i="5" s="1"/>
  <c r="AG243" i="5"/>
  <c r="AG255" i="5"/>
  <c r="AG266" i="5"/>
  <c r="AH266" i="5" s="1"/>
  <c r="AG274" i="5"/>
  <c r="AH274" i="5" s="1"/>
  <c r="AG282" i="5"/>
  <c r="AG290" i="5"/>
  <c r="AH290" i="5" s="1"/>
  <c r="AG306" i="5"/>
  <c r="AG338" i="5"/>
  <c r="AI338" i="5" s="1"/>
  <c r="AG354" i="5"/>
  <c r="AI354" i="5" s="1"/>
  <c r="AG366" i="5"/>
  <c r="AG382" i="5"/>
  <c r="AG411" i="5"/>
  <c r="AI411" i="5" s="1"/>
  <c r="AG427" i="5"/>
  <c r="AG443" i="5"/>
  <c r="AG195" i="5"/>
  <c r="AI195" i="5" s="1"/>
  <c r="AG213" i="5"/>
  <c r="AI213" i="5" s="1"/>
  <c r="AG227" i="5"/>
  <c r="AG248" i="5"/>
  <c r="AG300" i="5"/>
  <c r="AG312" i="5"/>
  <c r="AI312" i="5" s="1"/>
  <c r="AG321" i="5"/>
  <c r="AI321" i="5" s="1"/>
  <c r="AG327" i="5"/>
  <c r="AH327" i="5" s="1"/>
  <c r="AG334" i="5"/>
  <c r="AG350" i="5"/>
  <c r="AI350" i="5" s="1"/>
  <c r="AG361" i="5"/>
  <c r="AG377" i="5"/>
  <c r="AG384" i="5"/>
  <c r="AI384" i="5" s="1"/>
  <c r="AG393" i="5"/>
  <c r="AH393" i="5" s="1"/>
  <c r="AG410" i="5"/>
  <c r="AG426" i="5"/>
  <c r="AG442" i="5"/>
  <c r="AG463" i="5"/>
  <c r="AH463" i="5" s="1"/>
  <c r="AG473" i="5"/>
  <c r="AI473" i="5" s="1"/>
  <c r="AG489" i="5"/>
  <c r="AG207" i="5"/>
  <c r="AG221" i="5"/>
  <c r="AI221" i="5" s="1"/>
  <c r="AG239" i="5"/>
  <c r="AG7" i="5"/>
  <c r="AG27" i="5"/>
  <c r="AH27" i="5" s="1"/>
  <c r="AG22" i="5"/>
  <c r="AH22" i="5" s="1"/>
  <c r="AG30" i="5"/>
  <c r="AG38" i="5"/>
  <c r="AG24" i="5"/>
  <c r="AG40" i="5"/>
  <c r="AH40" i="5" s="1"/>
  <c r="AG53" i="5"/>
  <c r="AH53" i="5" s="1"/>
  <c r="AG59" i="5"/>
  <c r="AG67" i="5"/>
  <c r="AG75" i="5"/>
  <c r="AH75" i="5" s="1"/>
  <c r="AG100" i="5"/>
  <c r="AG116" i="5"/>
  <c r="AG129" i="5"/>
  <c r="AH129" i="5" s="1"/>
  <c r="AG150" i="5"/>
  <c r="AI150" i="5" s="1"/>
  <c r="AG165" i="5"/>
  <c r="AG188" i="5"/>
  <c r="AG47" i="5"/>
  <c r="AG80" i="5"/>
  <c r="AI80" i="5" s="1"/>
  <c r="AG99" i="5"/>
  <c r="AI99" i="5" s="1"/>
  <c r="AG115" i="5"/>
  <c r="AG135" i="5"/>
  <c r="AG147" i="5"/>
  <c r="AI147" i="5" s="1"/>
  <c r="AG159" i="5"/>
  <c r="AG176" i="5"/>
  <c r="AG50" i="5"/>
  <c r="AI50" i="5" s="1"/>
  <c r="AG69" i="5"/>
  <c r="AI69" i="5" s="1"/>
  <c r="AG84" i="5"/>
  <c r="AG92" i="5"/>
  <c r="AG108" i="5"/>
  <c r="AG124" i="5"/>
  <c r="AH124" i="5" s="1"/>
  <c r="AG155" i="5"/>
  <c r="AI155" i="5" s="1"/>
  <c r="AG170" i="5"/>
  <c r="AG185" i="5"/>
  <c r="AG60" i="5"/>
  <c r="AI60" i="5" s="1"/>
  <c r="AG76" i="5"/>
  <c r="AG94" i="5"/>
  <c r="AG110" i="5"/>
  <c r="AH110" i="5" s="1"/>
  <c r="AG126" i="5"/>
  <c r="AH126" i="5" s="1"/>
  <c r="AG134" i="5"/>
  <c r="AG142" i="5"/>
  <c r="AG166" i="5"/>
  <c r="AG175" i="5"/>
  <c r="AH175" i="5" s="1"/>
  <c r="AG184" i="5"/>
  <c r="AH184" i="5" s="1"/>
  <c r="AG197" i="5"/>
  <c r="AG210" i="5"/>
  <c r="AG222" i="5"/>
  <c r="AI222" i="5" s="1"/>
  <c r="AG233" i="5"/>
  <c r="AG247" i="5"/>
  <c r="AG256" i="5"/>
  <c r="AH256" i="5" s="1"/>
  <c r="AG267" i="5"/>
  <c r="AH267" i="5" s="1"/>
  <c r="AG275" i="5"/>
  <c r="AG283" i="5"/>
  <c r="AG291" i="5"/>
  <c r="AG307" i="5"/>
  <c r="AH307" i="5" s="1"/>
  <c r="AG340" i="5"/>
  <c r="AI340" i="5" s="1"/>
  <c r="AG356" i="5"/>
  <c r="AG368" i="5"/>
  <c r="AG391" i="5"/>
  <c r="AH391" i="5" s="1"/>
  <c r="AG413" i="5"/>
  <c r="AG429" i="5"/>
  <c r="AG445" i="5"/>
  <c r="AH445" i="5" s="1"/>
  <c r="AG206" i="5"/>
  <c r="AI206" i="5" s="1"/>
  <c r="AG220" i="5"/>
  <c r="AG236" i="5"/>
  <c r="AG251" i="5"/>
  <c r="AG302" i="5"/>
  <c r="AH302" i="5" s="1"/>
  <c r="AG313" i="5"/>
  <c r="AI313" i="5" s="1"/>
  <c r="AG322" i="5"/>
  <c r="AG330" i="5"/>
  <c r="AG336" i="5"/>
  <c r="AI336" i="5" s="1"/>
  <c r="AG352" i="5"/>
  <c r="AG370" i="5"/>
  <c r="AG378" i="5"/>
  <c r="AI378" i="5" s="1"/>
  <c r="AG385" i="5"/>
  <c r="AH385" i="5" s="1"/>
  <c r="AG404" i="5"/>
  <c r="AG420" i="5"/>
  <c r="AG436" i="5"/>
  <c r="AG451" i="5"/>
  <c r="AI451" i="5" s="1"/>
  <c r="AG467" i="5"/>
  <c r="AI467" i="5" s="1"/>
  <c r="AG483" i="5"/>
  <c r="AG187" i="5"/>
  <c r="AG209" i="5"/>
  <c r="AI209" i="5" s="1"/>
  <c r="AG228" i="5"/>
  <c r="AG244" i="5"/>
  <c r="AG13" i="5"/>
  <c r="AI13" i="5" s="1"/>
  <c r="AG41" i="5"/>
  <c r="AH41" i="5" s="1"/>
  <c r="AG62" i="5"/>
  <c r="AG119" i="5"/>
  <c r="AG191" i="5"/>
  <c r="AG117" i="5"/>
  <c r="AH117" i="5" s="1"/>
  <c r="AG177" i="5"/>
  <c r="AI177" i="5" s="1"/>
  <c r="AG95" i="5"/>
  <c r="AH95" i="5" s="1"/>
  <c r="AG173" i="5"/>
  <c r="AG81" i="5"/>
  <c r="AH81" i="5" s="1"/>
  <c r="AG120" i="5"/>
  <c r="AG138" i="5"/>
  <c r="AG169" i="5"/>
  <c r="AI169" i="5" s="1"/>
  <c r="AG189" i="5"/>
  <c r="AH189" i="5" s="1"/>
  <c r="AG212" i="5"/>
  <c r="AG235" i="5"/>
  <c r="AG262" i="5"/>
  <c r="AG278" i="5"/>
  <c r="AH278" i="5" s="1"/>
  <c r="AG301" i="5"/>
  <c r="AI301" i="5" s="1"/>
  <c r="AG345" i="5"/>
  <c r="AG369" i="5"/>
  <c r="AG414" i="5"/>
  <c r="AH414" i="5" s="1"/>
  <c r="AG446" i="5"/>
  <c r="AG224" i="5"/>
  <c r="AG252" i="5"/>
  <c r="AH252" i="5" s="1"/>
  <c r="AG318" i="5"/>
  <c r="AH318" i="5" s="1"/>
  <c r="AG331" i="5"/>
  <c r="AG358" i="5"/>
  <c r="AG379" i="5"/>
  <c r="AG407" i="5"/>
  <c r="AH407" i="5" s="1"/>
  <c r="AG439" i="5"/>
  <c r="AI439" i="5" s="1"/>
  <c r="AG470" i="5"/>
  <c r="AG202" i="5"/>
  <c r="AG229" i="5"/>
  <c r="AI229" i="5" s="1"/>
  <c r="AG265" i="5"/>
  <c r="AG281" i="5"/>
  <c r="AG296" i="5"/>
  <c r="AI296" i="5" s="1"/>
  <c r="AG319" i="5"/>
  <c r="AH319" i="5" s="1"/>
  <c r="AG337" i="5"/>
  <c r="AG353" i="5"/>
  <c r="AG367" i="5"/>
  <c r="AH367" i="5" s="1"/>
  <c r="AG400" i="5"/>
  <c r="AH400" i="5" s="1"/>
  <c r="AG416" i="5"/>
  <c r="AH416" i="5" s="1"/>
  <c r="AG432" i="5"/>
  <c r="AH432" i="5" s="1"/>
  <c r="AG448" i="5"/>
  <c r="AH448" i="5" s="1"/>
  <c r="AG203" i="5"/>
  <c r="AH203" i="5" s="1"/>
  <c r="AG226" i="5"/>
  <c r="AG245" i="5"/>
  <c r="AG257" i="5"/>
  <c r="AI257" i="5" s="1"/>
  <c r="AG268" i="5"/>
  <c r="AH268" i="5" s="1"/>
  <c r="AG284" i="5"/>
  <c r="AG295" i="5"/>
  <c r="AG314" i="5"/>
  <c r="AH314" i="5" s="1"/>
  <c r="AG335" i="5"/>
  <c r="AH335" i="5" s="1"/>
  <c r="AG351" i="5"/>
  <c r="AH351" i="5" s="1"/>
  <c r="AG376" i="5"/>
  <c r="AG387" i="5"/>
  <c r="AI387" i="5" s="1"/>
  <c r="AG397" i="5"/>
  <c r="AH397" i="5" s="1"/>
  <c r="AG412" i="5"/>
  <c r="AG428" i="5"/>
  <c r="AH428" i="5" s="1"/>
  <c r="AG444" i="5"/>
  <c r="AI444" i="5" s="1"/>
  <c r="AG453" i="5"/>
  <c r="AI453" i="5" s="1"/>
  <c r="AG461" i="5"/>
  <c r="AG478" i="5"/>
  <c r="AG474" i="5"/>
  <c r="AI474" i="5" s="1"/>
  <c r="AG498" i="5"/>
  <c r="AI498" i="5" s="1"/>
  <c r="AG513" i="5"/>
  <c r="AH513" i="5" s="1"/>
  <c r="AG530" i="5"/>
  <c r="AG547" i="5"/>
  <c r="AI547" i="5" s="1"/>
  <c r="AG554" i="5"/>
  <c r="AI554" i="5" s="1"/>
  <c r="AG491" i="5"/>
  <c r="AG502" i="5"/>
  <c r="AG508" i="5"/>
  <c r="AH508" i="5" s="1"/>
  <c r="AG536" i="5"/>
  <c r="AH536" i="5" s="1"/>
  <c r="AG458" i="5"/>
  <c r="AG477" i="5"/>
  <c r="AH477" i="5" s="1"/>
  <c r="AG492" i="5"/>
  <c r="AH492" i="5" s="1"/>
  <c r="AG519" i="5"/>
  <c r="AI519" i="5" s="1"/>
  <c r="AG535" i="5"/>
  <c r="AI535" i="5" s="1"/>
  <c r="AG550" i="5"/>
  <c r="AG552" i="5"/>
  <c r="AH552" i="5" s="1"/>
  <c r="AG506" i="5"/>
  <c r="AI506" i="5" s="1"/>
  <c r="AG522" i="5"/>
  <c r="AG528" i="5"/>
  <c r="AG544" i="5"/>
  <c r="AH544" i="5" s="1"/>
  <c r="AG31" i="5"/>
  <c r="AI31" i="5" s="1"/>
  <c r="AG28" i="5"/>
  <c r="AG70" i="5"/>
  <c r="AI70" i="5" s="1"/>
  <c r="AG130" i="5"/>
  <c r="AH130" i="5" s="1"/>
  <c r="AG56" i="5"/>
  <c r="AI56" i="5" s="1"/>
  <c r="AG139" i="5"/>
  <c r="AI139" i="5" s="1"/>
  <c r="AG52" i="5"/>
  <c r="AH52" i="5" s="1"/>
  <c r="AG111" i="5"/>
  <c r="AI111" i="5" s="1"/>
  <c r="AG39" i="5"/>
  <c r="AH39" i="5" s="1"/>
  <c r="AG90" i="5"/>
  <c r="AG123" i="5"/>
  <c r="AG140" i="5"/>
  <c r="AI140" i="5" s="1"/>
  <c r="AG171" i="5"/>
  <c r="AH171" i="5" s="1"/>
  <c r="AG190" i="5"/>
  <c r="AG215" i="5"/>
  <c r="AG242" i="5"/>
  <c r="AI242" i="5" s="1"/>
  <c r="AG263" i="5"/>
  <c r="AI263" i="5" s="1"/>
  <c r="AG279" i="5"/>
  <c r="AH279" i="5" s="1"/>
  <c r="AG304" i="5"/>
  <c r="AG347" i="5"/>
  <c r="AI347" i="5" s="1"/>
  <c r="AG375" i="5"/>
  <c r="AH375" i="5" s="1"/>
  <c r="AG424" i="5"/>
  <c r="AG194" i="5"/>
  <c r="AG225" i="5"/>
  <c r="AH225" i="5" s="1"/>
  <c r="AG297" i="5"/>
  <c r="AI297" i="5" s="1"/>
  <c r="AG320" i="5"/>
  <c r="AG333" i="5"/>
  <c r="AG360" i="5"/>
  <c r="AH360" i="5" s="1"/>
  <c r="AG381" i="5"/>
  <c r="AH381" i="5" s="1"/>
  <c r="AG409" i="5"/>
  <c r="AH409" i="5" s="1"/>
  <c r="AG441" i="5"/>
  <c r="AG472" i="5"/>
  <c r="AH472" i="5" s="1"/>
  <c r="AG204" i="5"/>
  <c r="AI204" i="5" s="1"/>
  <c r="AG234" i="5"/>
  <c r="AG269" i="5"/>
  <c r="AI269" i="5" s="1"/>
  <c r="AG285" i="5"/>
  <c r="AI285" i="5" s="1"/>
  <c r="AG298" i="5"/>
  <c r="AH298" i="5" s="1"/>
  <c r="AG324" i="5"/>
  <c r="AG339" i="5"/>
  <c r="AH339" i="5" s="1"/>
  <c r="AG355" i="5"/>
  <c r="AI355" i="5" s="1"/>
  <c r="AG374" i="5"/>
  <c r="AH374" i="5" s="1"/>
  <c r="AG403" i="5"/>
  <c r="AI403" i="5" s="1"/>
  <c r="AG419" i="5"/>
  <c r="AI419" i="5" s="1"/>
  <c r="AG435" i="5"/>
  <c r="AH435" i="5" s="1"/>
  <c r="AG450" i="5"/>
  <c r="AI450" i="5" s="1"/>
  <c r="AG205" i="5"/>
  <c r="AG231" i="5"/>
  <c r="AI231" i="5" s="1"/>
  <c r="AG246" i="5"/>
  <c r="AI246" i="5" s="1"/>
  <c r="AG259" i="5"/>
  <c r="AI259" i="5" s="1"/>
  <c r="AG272" i="5"/>
  <c r="AG288" i="5"/>
  <c r="AH288" i="5" s="1"/>
  <c r="AG305" i="5"/>
  <c r="AI305" i="5" s="1"/>
  <c r="AG316" i="5"/>
  <c r="AH316" i="5" s="1"/>
  <c r="AG342" i="5"/>
  <c r="AH342" i="5" s="1"/>
  <c r="AG359" i="5"/>
  <c r="AH359" i="5" s="1"/>
  <c r="AG380" i="5"/>
  <c r="AH380" i="5" s="1"/>
  <c r="AG392" i="5"/>
  <c r="AI392" i="5" s="1"/>
  <c r="AG399" i="5"/>
  <c r="AG415" i="5"/>
  <c r="AI415" i="5" s="1"/>
  <c r="AG431" i="5"/>
  <c r="AI431" i="5" s="1"/>
  <c r="AG447" i="5"/>
  <c r="AI447" i="5" s="1"/>
  <c r="AG456" i="5"/>
  <c r="AG464" i="5"/>
  <c r="AH464" i="5" s="1"/>
  <c r="AG480" i="5"/>
  <c r="AH480" i="5" s="1"/>
  <c r="AG476" i="5"/>
  <c r="AH476" i="5" s="1"/>
  <c r="AG503" i="5"/>
  <c r="AH503" i="5" s="1"/>
  <c r="AG514" i="5"/>
  <c r="AH514" i="5" s="1"/>
  <c r="AG531" i="5"/>
  <c r="AI531" i="5" s="1"/>
  <c r="AG549" i="5"/>
  <c r="AH549" i="5" s="1"/>
  <c r="AG559" i="5"/>
  <c r="AG494" i="5"/>
  <c r="AI494" i="5" s="1"/>
  <c r="AG504" i="5"/>
  <c r="AI504" i="5" s="1"/>
  <c r="AG510" i="5"/>
  <c r="AI510" i="5" s="1"/>
  <c r="AG538" i="5"/>
  <c r="AG462" i="5"/>
  <c r="AG482" i="5"/>
  <c r="AH482" i="5" s="1"/>
  <c r="AG493" i="5"/>
  <c r="AH493" i="5" s="1"/>
  <c r="AG525" i="5"/>
  <c r="AI525" i="5" s="1"/>
  <c r="AG539" i="5"/>
  <c r="AH539" i="5" s="1"/>
  <c r="AG555" i="5"/>
  <c r="AH555" i="5" s="1"/>
  <c r="AG479" i="5"/>
  <c r="AH479" i="5" s="1"/>
  <c r="AG509" i="5"/>
  <c r="AG523" i="5"/>
  <c r="AI523" i="5" s="1"/>
  <c r="AG529" i="5"/>
  <c r="AH529" i="5" s="1"/>
  <c r="AG546" i="5"/>
  <c r="AH546" i="5" s="1"/>
  <c r="AG25" i="5"/>
  <c r="AG44" i="5"/>
  <c r="AI44" i="5" s="1"/>
  <c r="AG82" i="5"/>
  <c r="AH82" i="5" s="1"/>
  <c r="AG151" i="5"/>
  <c r="AH151" i="5" s="1"/>
  <c r="AG85" i="5"/>
  <c r="AH85" i="5" s="1"/>
  <c r="AG153" i="5"/>
  <c r="AG73" i="5"/>
  <c r="AI73" i="5" s="1"/>
  <c r="AG132" i="5"/>
  <c r="AH132" i="5" s="1"/>
  <c r="AG64" i="5"/>
  <c r="AG104" i="5"/>
  <c r="AI104" i="5" s="1"/>
  <c r="AG128" i="5"/>
  <c r="AH128" i="5" s="1"/>
  <c r="AG143" i="5"/>
  <c r="AI143" i="5" s="1"/>
  <c r="AG178" i="5"/>
  <c r="AG198" i="5"/>
  <c r="AH198" i="5" s="1"/>
  <c r="AG223" i="5"/>
  <c r="AH223" i="5" s="1"/>
  <c r="AG250" i="5"/>
  <c r="AI250" i="5" s="1"/>
  <c r="AG270" i="5"/>
  <c r="AH270" i="5" s="1"/>
  <c r="AG286" i="5"/>
  <c r="AI286" i="5" s="1"/>
  <c r="AG315" i="5"/>
  <c r="AH315" i="5" s="1"/>
  <c r="AG357" i="5"/>
  <c r="AI357" i="5" s="1"/>
  <c r="AG395" i="5"/>
  <c r="AG430" i="5"/>
  <c r="AI430" i="5" s="1"/>
  <c r="AG208" i="5"/>
  <c r="AH208" i="5" s="1"/>
  <c r="AG237" i="5"/>
  <c r="AI237" i="5" s="1"/>
  <c r="AG303" i="5"/>
  <c r="AH303" i="5" s="1"/>
  <c r="AG325" i="5"/>
  <c r="AH325" i="5" s="1"/>
  <c r="AG341" i="5"/>
  <c r="AI341" i="5" s="1"/>
  <c r="AG372" i="5"/>
  <c r="AH372" i="5" s="1"/>
  <c r="AG389" i="5"/>
  <c r="AI389" i="5" s="1"/>
  <c r="AG423" i="5"/>
  <c r="AH423" i="5" s="1"/>
  <c r="AG455" i="5"/>
  <c r="AH455" i="5" s="1"/>
  <c r="AG486" i="5"/>
  <c r="AH486" i="5" s="1"/>
  <c r="AG218" i="5"/>
  <c r="AG258" i="5"/>
  <c r="AI258" i="5" s="1"/>
  <c r="AG273" i="5"/>
  <c r="AH273" i="5" s="1"/>
  <c r="AG289" i="5"/>
  <c r="AH289" i="5" s="1"/>
  <c r="AG299" i="5"/>
  <c r="AI299" i="5" s="1"/>
  <c r="AG328" i="5"/>
  <c r="AH328" i="5" s="1"/>
  <c r="AG346" i="5"/>
  <c r="AH346" i="5" s="1"/>
  <c r="AG362" i="5"/>
  <c r="AI362" i="5" s="1"/>
  <c r="AG388" i="5"/>
  <c r="AI388" i="5" s="1"/>
  <c r="AG405" i="5"/>
  <c r="AH405" i="5" s="1"/>
  <c r="AG421" i="5"/>
  <c r="AI421" i="5" s="1"/>
  <c r="AG437" i="5"/>
  <c r="AH437" i="5" s="1"/>
  <c r="AG196" i="5"/>
  <c r="AH196" i="5" s="1"/>
  <c r="AG214" i="5"/>
  <c r="AG238" i="5"/>
  <c r="AI238" i="5" s="1"/>
  <c r="AG249" i="5"/>
  <c r="AI249" i="5" s="1"/>
  <c r="AG260" i="5"/>
  <c r="AH260" i="5" s="1"/>
  <c r="AG276" i="5"/>
  <c r="AG292" i="5"/>
  <c r="AH292" i="5" s="1"/>
  <c r="AG308" i="5"/>
  <c r="AH308" i="5" s="1"/>
  <c r="AG317" i="5"/>
  <c r="AI317" i="5" s="1"/>
  <c r="AG344" i="5"/>
  <c r="AG365" i="5"/>
  <c r="AI365" i="5" s="1"/>
  <c r="AG383" i="5"/>
  <c r="AI383" i="5" s="1"/>
  <c r="AG394" i="5"/>
  <c r="AH394" i="5" s="1"/>
  <c r="AG401" i="5"/>
  <c r="AI401" i="5" s="1"/>
  <c r="AG417" i="5"/>
  <c r="AH417" i="5" s="1"/>
  <c r="AG433" i="5"/>
  <c r="AI433" i="5" s="1"/>
  <c r="AG449" i="5"/>
  <c r="AI449" i="5" s="1"/>
  <c r="AG457" i="5"/>
  <c r="AG465" i="5"/>
  <c r="AI465" i="5" s="1"/>
  <c r="AG481" i="5"/>
  <c r="AH481" i="5" s="1"/>
  <c r="AG485" i="5"/>
  <c r="AI485" i="5" s="1"/>
  <c r="AG19" i="5"/>
  <c r="AG537" i="5"/>
  <c r="AI537" i="5" s="1"/>
  <c r="AG518" i="5"/>
  <c r="AI518" i="5" s="1"/>
  <c r="AG556" i="5"/>
  <c r="AI556" i="5" s="1"/>
  <c r="AG533" i="5"/>
  <c r="AI533" i="5" s="1"/>
  <c r="AG490" i="5"/>
  <c r="AI490" i="5" s="1"/>
  <c r="AG454" i="5"/>
  <c r="AI454" i="5" s="1"/>
  <c r="AG507" i="5"/>
  <c r="AI507" i="5" s="1"/>
  <c r="AG487" i="5"/>
  <c r="AG542" i="5"/>
  <c r="AI542" i="5" s="1"/>
  <c r="AG512" i="5"/>
  <c r="AI512" i="5" s="1"/>
  <c r="AG475" i="5"/>
  <c r="AH475" i="5" s="1"/>
  <c r="AG418" i="5"/>
  <c r="AH418" i="5" s="1"/>
  <c r="AG371" i="5"/>
  <c r="AH371" i="5" s="1"/>
  <c r="AG294" i="5"/>
  <c r="AI294" i="5" s="1"/>
  <c r="AG240" i="5"/>
  <c r="AH240" i="5" s="1"/>
  <c r="AG422" i="5"/>
  <c r="AG348" i="5"/>
  <c r="AI348" i="5" s="1"/>
  <c r="AG277" i="5"/>
  <c r="AI277" i="5" s="1"/>
  <c r="AG459" i="5"/>
  <c r="AI459" i="5" s="1"/>
  <c r="AG343" i="5"/>
  <c r="AG211" i="5"/>
  <c r="AH211" i="5" s="1"/>
  <c r="AG323" i="5"/>
  <c r="AH323" i="5" s="1"/>
  <c r="AG230" i="5"/>
  <c r="AI230" i="5" s="1"/>
  <c r="AG131" i="5"/>
  <c r="AG86" i="5"/>
  <c r="AH86" i="5" s="1"/>
  <c r="AG103" i="5"/>
  <c r="AH103" i="5" s="1"/>
  <c r="AG560" i="5"/>
  <c r="AH560" i="5" s="1"/>
  <c r="AG534" i="5"/>
  <c r="AG516" i="5"/>
  <c r="AH516" i="5" s="1"/>
  <c r="AG557" i="5"/>
  <c r="AH557" i="5" s="1"/>
  <c r="AG532" i="5"/>
  <c r="AH532" i="5" s="1"/>
  <c r="AG484" i="5"/>
  <c r="AI484" i="5" s="1"/>
  <c r="AG543" i="5"/>
  <c r="AH543" i="5" s="1"/>
  <c r="AG505" i="5"/>
  <c r="AI505" i="5" s="1"/>
  <c r="AG471" i="5"/>
  <c r="AI471" i="5" s="1"/>
  <c r="AG540" i="5"/>
  <c r="AG511" i="5"/>
  <c r="AI511" i="5" s="1"/>
  <c r="AG460" i="5"/>
  <c r="AI460" i="5" s="1"/>
  <c r="AG402" i="5"/>
  <c r="AI402" i="5" s="1"/>
  <c r="AG349" i="5"/>
  <c r="AG280" i="5"/>
  <c r="AH280" i="5" s="1"/>
  <c r="AG216" i="5"/>
  <c r="AH216" i="5" s="1"/>
  <c r="AG406" i="5"/>
  <c r="AH406" i="5" s="1"/>
  <c r="AG332" i="5"/>
  <c r="AG261" i="5"/>
  <c r="AI261" i="5" s="1"/>
  <c r="AG425" i="5"/>
  <c r="AI425" i="5" s="1"/>
  <c r="AG326" i="5"/>
  <c r="AH326" i="5" s="1"/>
  <c r="AG440" i="5"/>
  <c r="AH440" i="5" s="1"/>
  <c r="AG287" i="5"/>
  <c r="AH287" i="5" s="1"/>
  <c r="AG199" i="5"/>
  <c r="AI199" i="5" s="1"/>
  <c r="AG107" i="5"/>
  <c r="AI107" i="5" s="1"/>
  <c r="AG160" i="5"/>
  <c r="AH160" i="5" s="1"/>
  <c r="AG54" i="5"/>
  <c r="AH54" i="5" s="1"/>
  <c r="AG553" i="5"/>
  <c r="AH553" i="5" s="1"/>
  <c r="AG527" i="5"/>
  <c r="AI527" i="5" s="1"/>
  <c r="AG501" i="5"/>
  <c r="AG548" i="5"/>
  <c r="AI548" i="5" s="1"/>
  <c r="AG517" i="5"/>
  <c r="AI517" i="5" s="1"/>
  <c r="AG468" i="5"/>
  <c r="AH468" i="5" s="1"/>
  <c r="AG520" i="5"/>
  <c r="AI520" i="5" s="1"/>
  <c r="AG497" i="5"/>
  <c r="AH497" i="5" s="1"/>
  <c r="AG545" i="5"/>
  <c r="AH545" i="5" s="1"/>
  <c r="AG526" i="5"/>
  <c r="AI526" i="5" s="1"/>
  <c r="AG495" i="5"/>
  <c r="AG452" i="5"/>
  <c r="AH452" i="5" s="1"/>
  <c r="AG396" i="5"/>
  <c r="AH396" i="5" s="1"/>
  <c r="AG329" i="5"/>
  <c r="AH329" i="5" s="1"/>
  <c r="AG264" i="5"/>
  <c r="AG200" i="5"/>
  <c r="AH200" i="5" s="1"/>
  <c r="AG398" i="5"/>
  <c r="AI398" i="5" s="1"/>
  <c r="AG311" i="5"/>
  <c r="AI311" i="5" s="1"/>
  <c r="AG219" i="5"/>
  <c r="AH219" i="5" s="1"/>
  <c r="AG390" i="5"/>
  <c r="AH390" i="5" s="1"/>
  <c r="AG310" i="5"/>
  <c r="AH310" i="5" s="1"/>
  <c r="AG408" i="5"/>
  <c r="AH408" i="5" s="1"/>
  <c r="AG271" i="5"/>
  <c r="AG179" i="5"/>
  <c r="AH179" i="5" s="1"/>
  <c r="AG68" i="5"/>
  <c r="AI68" i="5" s="1"/>
  <c r="AG101" i="5"/>
  <c r="AH101" i="5" s="1"/>
  <c r="AG33" i="5"/>
  <c r="B131" i="2"/>
  <c r="H35" i="1" s="1"/>
  <c r="B133" i="2"/>
  <c r="B97" i="2"/>
  <c r="B57" i="2"/>
  <c r="B62" i="2"/>
  <c r="AF546" i="5"/>
  <c r="AP546" i="5" s="1"/>
  <c r="AF498" i="5"/>
  <c r="AF358" i="5"/>
  <c r="AP358" i="5" s="1"/>
  <c r="AF37" i="5"/>
  <c r="AP37" i="5" s="1"/>
  <c r="AF538" i="5"/>
  <c r="AF482" i="5"/>
  <c r="AF294" i="5"/>
  <c r="AF29" i="5"/>
  <c r="AF522" i="5"/>
  <c r="AP522" i="5" s="1"/>
  <c r="AF466" i="5"/>
  <c r="AP466" i="5" s="1"/>
  <c r="AF214" i="5"/>
  <c r="AF558" i="5"/>
  <c r="AF506" i="5"/>
  <c r="AP506" i="5" s="1"/>
  <c r="AF414" i="5"/>
  <c r="AF21" i="5"/>
  <c r="AF542" i="5"/>
  <c r="AF518" i="5"/>
  <c r="AF486" i="5"/>
  <c r="AF454" i="5"/>
  <c r="AF406" i="5"/>
  <c r="AF342" i="5"/>
  <c r="AF286" i="5"/>
  <c r="AF90" i="5"/>
  <c r="AP90" i="5" s="1"/>
  <c r="AF446" i="5"/>
  <c r="AP446" i="5" s="1"/>
  <c r="AF382" i="5"/>
  <c r="AF326" i="5"/>
  <c r="AF278" i="5"/>
  <c r="AF437" i="5"/>
  <c r="AF33" i="5"/>
  <c r="AF554" i="5"/>
  <c r="AF530" i="5"/>
  <c r="AP530" i="5" s="1"/>
  <c r="AF502" i="5"/>
  <c r="AF474" i="5"/>
  <c r="AF422" i="5"/>
  <c r="AF374" i="5"/>
  <c r="AF318" i="5"/>
  <c r="AF246" i="5"/>
  <c r="AF41" i="5"/>
  <c r="AF25" i="5"/>
  <c r="AF550" i="5"/>
  <c r="AF534" i="5"/>
  <c r="AF514" i="5"/>
  <c r="AF490" i="5"/>
  <c r="AF470" i="5"/>
  <c r="AF438" i="5"/>
  <c r="AF390" i="5"/>
  <c r="AF350" i="5"/>
  <c r="AF310" i="5"/>
  <c r="AF262" i="5"/>
  <c r="AF198" i="5"/>
  <c r="AF373" i="5"/>
  <c r="AP373" i="5" s="1"/>
  <c r="AF254" i="5"/>
  <c r="AP254" i="5" s="1"/>
  <c r="AF150" i="5"/>
  <c r="AP150" i="5" s="1"/>
  <c r="AF526" i="5"/>
  <c r="AF510" i="5"/>
  <c r="AF494" i="5"/>
  <c r="AF478" i="5"/>
  <c r="AF462" i="5"/>
  <c r="AF430" i="5"/>
  <c r="AF398" i="5"/>
  <c r="AF366" i="5"/>
  <c r="AF334" i="5"/>
  <c r="AF302" i="5"/>
  <c r="AF270" i="5"/>
  <c r="AF238" i="5"/>
  <c r="AF182" i="5"/>
  <c r="AF24" i="5"/>
  <c r="AF193" i="5"/>
  <c r="AP193" i="5" s="1"/>
  <c r="AF230" i="5"/>
  <c r="AF166" i="5"/>
  <c r="AF501" i="5"/>
  <c r="AF458" i="5"/>
  <c r="AP458" i="5" s="1"/>
  <c r="AF442" i="5"/>
  <c r="AF426" i="5"/>
  <c r="AF410" i="5"/>
  <c r="AP410" i="5" s="1"/>
  <c r="AF394" i="5"/>
  <c r="AF378" i="5"/>
  <c r="AF362" i="5"/>
  <c r="AF346" i="5"/>
  <c r="AF330" i="5"/>
  <c r="AP330" i="5" s="1"/>
  <c r="AF314" i="5"/>
  <c r="AF298" i="5"/>
  <c r="AF282" i="5"/>
  <c r="AP282" i="5" s="1"/>
  <c r="AF266" i="5"/>
  <c r="AF250" i="5"/>
  <c r="AF234" i="5"/>
  <c r="AP234" i="5" s="1"/>
  <c r="AF206" i="5"/>
  <c r="AF174" i="5"/>
  <c r="AP174" i="5" s="1"/>
  <c r="AF138" i="5"/>
  <c r="AF74" i="5"/>
  <c r="AP74" i="5" s="1"/>
  <c r="AF549" i="5"/>
  <c r="AF485" i="5"/>
  <c r="AF421" i="5"/>
  <c r="AF353" i="5"/>
  <c r="AF129" i="5"/>
  <c r="AF122" i="5"/>
  <c r="AF58" i="5"/>
  <c r="AF533" i="5"/>
  <c r="AF469" i="5"/>
  <c r="AP469" i="5" s="1"/>
  <c r="AF405" i="5"/>
  <c r="AF321" i="5"/>
  <c r="AF524" i="5"/>
  <c r="AF450" i="5"/>
  <c r="AF434" i="5"/>
  <c r="AF418" i="5"/>
  <c r="AF402" i="5"/>
  <c r="AF386" i="5"/>
  <c r="AF370" i="5"/>
  <c r="AF354" i="5"/>
  <c r="AF338" i="5"/>
  <c r="AF322" i="5"/>
  <c r="AP322" i="5" s="1"/>
  <c r="AF306" i="5"/>
  <c r="AP306" i="5" s="1"/>
  <c r="AF290" i="5"/>
  <c r="AF274" i="5"/>
  <c r="AF258" i="5"/>
  <c r="AF242" i="5"/>
  <c r="AP242" i="5" s="1"/>
  <c r="AF222" i="5"/>
  <c r="AF190" i="5"/>
  <c r="AP190" i="5" s="1"/>
  <c r="AF158" i="5"/>
  <c r="AF106" i="5"/>
  <c r="AP106" i="5" s="1"/>
  <c r="AF40" i="5"/>
  <c r="AF517" i="5"/>
  <c r="AF453" i="5"/>
  <c r="AF389" i="5"/>
  <c r="AF257" i="5"/>
  <c r="AF226" i="5"/>
  <c r="AP226" i="5" s="1"/>
  <c r="AF210" i="5"/>
  <c r="AF194" i="5"/>
  <c r="AF178" i="5"/>
  <c r="AP178" i="5" s="1"/>
  <c r="AF162" i="5"/>
  <c r="AF146" i="5"/>
  <c r="AF114" i="5"/>
  <c r="AP114" i="5" s="1"/>
  <c r="AF82" i="5"/>
  <c r="AF50" i="5"/>
  <c r="AF557" i="5"/>
  <c r="AF525" i="5"/>
  <c r="AF493" i="5"/>
  <c r="AF461" i="5"/>
  <c r="AP461" i="5" s="1"/>
  <c r="AF429" i="5"/>
  <c r="AF397" i="5"/>
  <c r="AF365" i="5"/>
  <c r="AF305" i="5"/>
  <c r="AF241" i="5"/>
  <c r="AP241" i="5" s="1"/>
  <c r="AF177" i="5"/>
  <c r="AF113" i="5"/>
  <c r="AF436" i="5"/>
  <c r="AF289" i="5"/>
  <c r="AF225" i="5"/>
  <c r="AP225" i="5" s="1"/>
  <c r="AF161" i="5"/>
  <c r="AF97" i="5"/>
  <c r="AP97" i="5" s="1"/>
  <c r="AF300" i="5"/>
  <c r="AF218" i="5"/>
  <c r="AF202" i="5"/>
  <c r="AF186" i="5"/>
  <c r="AP186" i="5" s="1"/>
  <c r="AF170" i="5"/>
  <c r="AP170" i="5" s="1"/>
  <c r="AF154" i="5"/>
  <c r="AP154" i="5" s="1"/>
  <c r="AF130" i="5"/>
  <c r="AF98" i="5"/>
  <c r="AF66" i="5"/>
  <c r="AP66" i="5" s="1"/>
  <c r="AF32" i="5"/>
  <c r="AF541" i="5"/>
  <c r="AP541" i="5" s="1"/>
  <c r="AF509" i="5"/>
  <c r="AP509" i="5" s="1"/>
  <c r="AF477" i="5"/>
  <c r="AP477" i="5" s="1"/>
  <c r="AF445" i="5"/>
  <c r="AF413" i="5"/>
  <c r="AP413" i="5" s="1"/>
  <c r="AF381" i="5"/>
  <c r="AF337" i="5"/>
  <c r="AP337" i="5" s="1"/>
  <c r="AF273" i="5"/>
  <c r="AF209" i="5"/>
  <c r="AP209" i="5" s="1"/>
  <c r="AF145" i="5"/>
  <c r="AP145" i="5" s="1"/>
  <c r="AF49" i="5"/>
  <c r="AF134" i="5"/>
  <c r="AP134" i="5" s="1"/>
  <c r="AF118" i="5"/>
  <c r="AP118" i="5" s="1"/>
  <c r="AF102" i="5"/>
  <c r="AF86" i="5"/>
  <c r="AF70" i="5"/>
  <c r="AF54" i="5"/>
  <c r="AF36" i="5"/>
  <c r="AP36" i="5" s="1"/>
  <c r="AF20" i="5"/>
  <c r="AP20" i="5" s="1"/>
  <c r="AF545" i="5"/>
  <c r="AF529" i="5"/>
  <c r="AF513" i="5"/>
  <c r="AF497" i="5"/>
  <c r="AF481" i="5"/>
  <c r="AF465" i="5"/>
  <c r="AF449" i="5"/>
  <c r="AP449" i="5" s="1"/>
  <c r="AF433" i="5"/>
  <c r="AF417" i="5"/>
  <c r="AF401" i="5"/>
  <c r="AF385" i="5"/>
  <c r="AF369" i="5"/>
  <c r="AF345" i="5"/>
  <c r="AF313" i="5"/>
  <c r="AF281" i="5"/>
  <c r="AF249" i="5"/>
  <c r="AF217" i="5"/>
  <c r="AP217" i="5" s="1"/>
  <c r="AF185" i="5"/>
  <c r="AF153" i="5"/>
  <c r="AF121" i="5"/>
  <c r="AF89" i="5"/>
  <c r="AP89" i="5" s="1"/>
  <c r="AF31" i="5"/>
  <c r="AP31" i="5" s="1"/>
  <c r="AF508" i="5"/>
  <c r="AF404" i="5"/>
  <c r="AP404" i="5" s="1"/>
  <c r="AF256" i="5"/>
  <c r="AF81" i="5"/>
  <c r="AP81" i="5" s="1"/>
  <c r="AF556" i="5"/>
  <c r="AP556" i="5" s="1"/>
  <c r="AF492" i="5"/>
  <c r="AF372" i="5"/>
  <c r="AF64" i="5"/>
  <c r="AP64" i="5" s="1"/>
  <c r="AF142" i="5"/>
  <c r="AF126" i="5"/>
  <c r="AF110" i="5"/>
  <c r="AF94" i="5"/>
  <c r="AF78" i="5"/>
  <c r="AP78" i="5" s="1"/>
  <c r="AF62" i="5"/>
  <c r="AP62" i="5" s="1"/>
  <c r="AF46" i="5"/>
  <c r="AF28" i="5"/>
  <c r="AP28" i="5" s="1"/>
  <c r="AF553" i="5"/>
  <c r="AF537" i="5"/>
  <c r="AF521" i="5"/>
  <c r="AF505" i="5"/>
  <c r="AF489" i="5"/>
  <c r="AF473" i="5"/>
  <c r="AF457" i="5"/>
  <c r="AF441" i="5"/>
  <c r="AF425" i="5"/>
  <c r="AF409" i="5"/>
  <c r="AF393" i="5"/>
  <c r="AF377" i="5"/>
  <c r="AF361" i="5"/>
  <c r="AP361" i="5" s="1"/>
  <c r="AF329" i="5"/>
  <c r="AF297" i="5"/>
  <c r="AF265" i="5"/>
  <c r="AP265" i="5" s="1"/>
  <c r="AF233" i="5"/>
  <c r="AP233" i="5" s="1"/>
  <c r="AF201" i="5"/>
  <c r="AP201" i="5" s="1"/>
  <c r="AF169" i="5"/>
  <c r="AF137" i="5"/>
  <c r="AP137" i="5" s="1"/>
  <c r="AF105" i="5"/>
  <c r="AF65" i="5"/>
  <c r="AF540" i="5"/>
  <c r="AF468" i="5"/>
  <c r="AF340" i="5"/>
  <c r="AF357" i="5"/>
  <c r="AF341" i="5"/>
  <c r="AF325" i="5"/>
  <c r="AF309" i="5"/>
  <c r="AP309" i="5" s="1"/>
  <c r="AF293" i="5"/>
  <c r="AF277" i="5"/>
  <c r="AF261" i="5"/>
  <c r="AF245" i="5"/>
  <c r="AF229" i="5"/>
  <c r="AF213" i="5"/>
  <c r="AF197" i="5"/>
  <c r="AF181" i="5"/>
  <c r="AF165" i="5"/>
  <c r="AP165" i="5" s="1"/>
  <c r="AF149" i="5"/>
  <c r="AF133" i="5"/>
  <c r="AP133" i="5" s="1"/>
  <c r="AF117" i="5"/>
  <c r="AF101" i="5"/>
  <c r="AF85" i="5"/>
  <c r="AF57" i="5"/>
  <c r="AP57" i="5" s="1"/>
  <c r="AF23" i="5"/>
  <c r="AF532" i="5"/>
  <c r="AF500" i="5"/>
  <c r="AP500" i="5" s="1"/>
  <c r="AF452" i="5"/>
  <c r="AF388" i="5"/>
  <c r="AF320" i="5"/>
  <c r="AP320" i="5" s="1"/>
  <c r="AF236" i="5"/>
  <c r="AF543" i="5"/>
  <c r="AF192" i="5"/>
  <c r="AF399" i="5"/>
  <c r="AP399" i="5" s="1"/>
  <c r="AF349" i="5"/>
  <c r="AF333" i="5"/>
  <c r="AF317" i="5"/>
  <c r="AP317" i="5" s="1"/>
  <c r="AF301" i="5"/>
  <c r="AF285" i="5"/>
  <c r="AF269" i="5"/>
  <c r="AF253" i="5"/>
  <c r="AP253" i="5" s="1"/>
  <c r="AF237" i="5"/>
  <c r="AF221" i="5"/>
  <c r="AF205" i="5"/>
  <c r="AP205" i="5" s="1"/>
  <c r="AF189" i="5"/>
  <c r="AF173" i="5"/>
  <c r="AF157" i="5"/>
  <c r="AF141" i="5"/>
  <c r="AP141" i="5" s="1"/>
  <c r="AF125" i="5"/>
  <c r="AF109" i="5"/>
  <c r="AF93" i="5"/>
  <c r="AP93" i="5" s="1"/>
  <c r="AF73" i="5"/>
  <c r="AF39" i="5"/>
  <c r="AF548" i="5"/>
  <c r="AF516" i="5"/>
  <c r="AP516" i="5" s="1"/>
  <c r="AF484" i="5"/>
  <c r="AF420" i="5"/>
  <c r="AF356" i="5"/>
  <c r="AP356" i="5" s="1"/>
  <c r="AF280" i="5"/>
  <c r="AF128" i="5"/>
  <c r="AF69" i="5"/>
  <c r="AF53" i="5"/>
  <c r="AF35" i="5"/>
  <c r="AF560" i="5"/>
  <c r="AF544" i="5"/>
  <c r="AF528" i="5"/>
  <c r="AP528" i="5" s="1"/>
  <c r="AF512" i="5"/>
  <c r="AF496" i="5"/>
  <c r="AF476" i="5"/>
  <c r="AF444" i="5"/>
  <c r="AF412" i="5"/>
  <c r="AP412" i="5" s="1"/>
  <c r="AF380" i="5"/>
  <c r="AF348" i="5"/>
  <c r="AF312" i="5"/>
  <c r="AF268" i="5"/>
  <c r="AF224" i="5"/>
  <c r="AF176" i="5"/>
  <c r="AF112" i="5"/>
  <c r="AF48" i="5"/>
  <c r="AF511" i="5"/>
  <c r="AF383" i="5"/>
  <c r="AF216" i="5"/>
  <c r="AF160" i="5"/>
  <c r="AF96" i="5"/>
  <c r="AP96" i="5" s="1"/>
  <c r="AF34" i="5"/>
  <c r="AF495" i="5"/>
  <c r="AF271" i="5"/>
  <c r="AF77" i="5"/>
  <c r="AP77" i="5" s="1"/>
  <c r="AF61" i="5"/>
  <c r="AF45" i="5"/>
  <c r="AP45" i="5" s="1"/>
  <c r="AF27" i="5"/>
  <c r="AP27" i="5" s="1"/>
  <c r="AF552" i="5"/>
  <c r="AF536" i="5"/>
  <c r="AF520" i="5"/>
  <c r="AF504" i="5"/>
  <c r="AF488" i="5"/>
  <c r="AP488" i="5" s="1"/>
  <c r="AF460" i="5"/>
  <c r="AF428" i="5"/>
  <c r="AF396" i="5"/>
  <c r="AF364" i="5"/>
  <c r="AP364" i="5" s="1"/>
  <c r="AF332" i="5"/>
  <c r="AF288" i="5"/>
  <c r="AP288" i="5" s="1"/>
  <c r="AF248" i="5"/>
  <c r="AF204" i="5"/>
  <c r="AF144" i="5"/>
  <c r="AF80" i="5"/>
  <c r="AF559" i="5"/>
  <c r="AP559" i="5" s="1"/>
  <c r="AF479" i="5"/>
  <c r="AZ10" i="5"/>
  <c r="BA10" i="5" s="1"/>
  <c r="T10" i="5"/>
  <c r="AF255" i="5"/>
  <c r="AF527" i="5"/>
  <c r="AF463" i="5"/>
  <c r="AF335" i="5"/>
  <c r="AF127" i="5"/>
  <c r="AF447" i="5"/>
  <c r="AP447" i="5" s="1"/>
  <c r="AF319" i="5"/>
  <c r="AF63" i="5"/>
  <c r="AP63" i="5" s="1"/>
  <c r="AF207" i="5"/>
  <c r="AP207" i="5" s="1"/>
  <c r="AF191" i="5"/>
  <c r="AF431" i="5"/>
  <c r="AF367" i="5"/>
  <c r="AF303" i="5"/>
  <c r="AF239" i="5"/>
  <c r="AP239" i="5" s="1"/>
  <c r="AF175" i="5"/>
  <c r="AF111" i="5"/>
  <c r="AF13" i="5"/>
  <c r="AP13" i="5" s="1"/>
  <c r="AF415" i="5"/>
  <c r="AF351" i="5"/>
  <c r="AF287" i="5"/>
  <c r="AF223" i="5"/>
  <c r="AP223" i="5" s="1"/>
  <c r="AF159" i="5"/>
  <c r="AP159" i="5" s="1"/>
  <c r="AF95" i="5"/>
  <c r="AF143" i="5"/>
  <c r="AF79" i="5"/>
  <c r="AF480" i="5"/>
  <c r="AF464" i="5"/>
  <c r="AF448" i="5"/>
  <c r="AF432" i="5"/>
  <c r="AF416" i="5"/>
  <c r="AF400" i="5"/>
  <c r="AF384" i="5"/>
  <c r="AF368" i="5"/>
  <c r="AP368" i="5" s="1"/>
  <c r="AF352" i="5"/>
  <c r="AP352" i="5" s="1"/>
  <c r="AF336" i="5"/>
  <c r="AF316" i="5"/>
  <c r="AF296" i="5"/>
  <c r="AF272" i="5"/>
  <c r="AP272" i="5" s="1"/>
  <c r="AF252" i="5"/>
  <c r="AF232" i="5"/>
  <c r="AF208" i="5"/>
  <c r="AP208" i="5" s="1"/>
  <c r="AF184" i="5"/>
  <c r="AF152" i="5"/>
  <c r="AP152" i="5" s="1"/>
  <c r="AF120" i="5"/>
  <c r="AP120" i="5" s="1"/>
  <c r="AF88" i="5"/>
  <c r="AF56" i="5"/>
  <c r="AP56" i="5" s="1"/>
  <c r="AF26" i="5"/>
  <c r="AP26" i="5" s="1"/>
  <c r="AF535" i="5"/>
  <c r="AF503" i="5"/>
  <c r="AF471" i="5"/>
  <c r="AF439" i="5"/>
  <c r="AF407" i="5"/>
  <c r="AF375" i="5"/>
  <c r="AF343" i="5"/>
  <c r="AF311" i="5"/>
  <c r="AF279" i="5"/>
  <c r="AF247" i="5"/>
  <c r="AF215" i="5"/>
  <c r="AF183" i="5"/>
  <c r="AF151" i="5"/>
  <c r="AF119" i="5"/>
  <c r="AF87" i="5"/>
  <c r="AF55" i="5"/>
  <c r="AP55" i="5" s="1"/>
  <c r="AF10" i="5"/>
  <c r="AF47" i="5"/>
  <c r="AP47" i="5" s="1"/>
  <c r="AF472" i="5"/>
  <c r="AF456" i="5"/>
  <c r="AP456" i="5" s="1"/>
  <c r="AF440" i="5"/>
  <c r="AF424" i="5"/>
  <c r="AP424" i="5" s="1"/>
  <c r="AF408" i="5"/>
  <c r="AF392" i="5"/>
  <c r="AF376" i="5"/>
  <c r="AP376" i="5" s="1"/>
  <c r="AF360" i="5"/>
  <c r="AP360" i="5" s="1"/>
  <c r="AF344" i="5"/>
  <c r="AF328" i="5"/>
  <c r="AF304" i="5"/>
  <c r="AP304" i="5" s="1"/>
  <c r="AF284" i="5"/>
  <c r="AP284" i="5" s="1"/>
  <c r="AF264" i="5"/>
  <c r="AF240" i="5"/>
  <c r="AP240" i="5" s="1"/>
  <c r="AF220" i="5"/>
  <c r="AP220" i="5" s="1"/>
  <c r="AF200" i="5"/>
  <c r="AP200" i="5" s="1"/>
  <c r="AF168" i="5"/>
  <c r="AF136" i="5"/>
  <c r="AP136" i="5" s="1"/>
  <c r="AF104" i="5"/>
  <c r="AF72" i="5"/>
  <c r="AF42" i="5"/>
  <c r="AP42" i="5" s="1"/>
  <c r="AF551" i="5"/>
  <c r="AP551" i="5" s="1"/>
  <c r="AF519" i="5"/>
  <c r="AF487" i="5"/>
  <c r="AF455" i="5"/>
  <c r="AF423" i="5"/>
  <c r="AF391" i="5"/>
  <c r="AF359" i="5"/>
  <c r="AF327" i="5"/>
  <c r="AF295" i="5"/>
  <c r="AF263" i="5"/>
  <c r="AF231" i="5"/>
  <c r="AF199" i="5"/>
  <c r="AP199" i="5" s="1"/>
  <c r="AF167" i="5"/>
  <c r="AP167" i="5" s="1"/>
  <c r="AF135" i="5"/>
  <c r="AF103" i="5"/>
  <c r="AF71" i="5"/>
  <c r="AF19" i="5"/>
  <c r="AF188" i="5"/>
  <c r="AP188" i="5" s="1"/>
  <c r="AF172" i="5"/>
  <c r="AP172" i="5" s="1"/>
  <c r="AF156" i="5"/>
  <c r="AP156" i="5" s="1"/>
  <c r="AF140" i="5"/>
  <c r="AF124" i="5"/>
  <c r="AF108" i="5"/>
  <c r="AP108" i="5" s="1"/>
  <c r="AF92" i="5"/>
  <c r="AF76" i="5"/>
  <c r="AP76" i="5" s="1"/>
  <c r="AF60" i="5"/>
  <c r="AF44" i="5"/>
  <c r="AF30" i="5"/>
  <c r="AP30" i="5" s="1"/>
  <c r="AF555" i="5"/>
  <c r="AF539" i="5"/>
  <c r="AF523" i="5"/>
  <c r="AF507" i="5"/>
  <c r="AF491" i="5"/>
  <c r="AP491" i="5" s="1"/>
  <c r="AF475" i="5"/>
  <c r="AF459" i="5"/>
  <c r="AF443" i="5"/>
  <c r="AF427" i="5"/>
  <c r="AP427" i="5" s="1"/>
  <c r="AF411" i="5"/>
  <c r="AF395" i="5"/>
  <c r="AP395" i="5" s="1"/>
  <c r="AF379" i="5"/>
  <c r="AF363" i="5"/>
  <c r="AP363" i="5" s="1"/>
  <c r="AF347" i="5"/>
  <c r="AF331" i="5"/>
  <c r="AP331" i="5" s="1"/>
  <c r="AF315" i="5"/>
  <c r="AF299" i="5"/>
  <c r="AF283" i="5"/>
  <c r="AP283" i="5" s="1"/>
  <c r="AF267" i="5"/>
  <c r="AF251" i="5"/>
  <c r="AF235" i="5"/>
  <c r="AF219" i="5"/>
  <c r="AF203" i="5"/>
  <c r="AF187" i="5"/>
  <c r="AF171" i="5"/>
  <c r="AF155" i="5"/>
  <c r="AF139" i="5"/>
  <c r="AF123" i="5"/>
  <c r="AF107" i="5"/>
  <c r="AP107" i="5" s="1"/>
  <c r="AF91" i="5"/>
  <c r="AF75" i="5"/>
  <c r="AF59" i="5"/>
  <c r="AF43" i="5"/>
  <c r="AF7" i="5"/>
  <c r="AP7" i="5" s="1"/>
  <c r="AF9" i="5"/>
  <c r="AF8" i="5"/>
  <c r="AF324" i="5"/>
  <c r="AP324" i="5" s="1"/>
  <c r="AF308" i="5"/>
  <c r="AF292" i="5"/>
  <c r="AP292" i="5" s="1"/>
  <c r="AF276" i="5"/>
  <c r="AF260" i="5"/>
  <c r="AF244" i="5"/>
  <c r="AF228" i="5"/>
  <c r="AP228" i="5" s="1"/>
  <c r="AF212" i="5"/>
  <c r="AP212" i="5" s="1"/>
  <c r="AF196" i="5"/>
  <c r="AP196" i="5" s="1"/>
  <c r="AF180" i="5"/>
  <c r="AP180" i="5" s="1"/>
  <c r="AF164" i="5"/>
  <c r="AF148" i="5"/>
  <c r="AF132" i="5"/>
  <c r="AF116" i="5"/>
  <c r="AF100" i="5"/>
  <c r="AP100" i="5" s="1"/>
  <c r="AF84" i="5"/>
  <c r="AP84" i="5" s="1"/>
  <c r="AF68" i="5"/>
  <c r="AF52" i="5"/>
  <c r="AP52" i="5" s="1"/>
  <c r="AF38" i="5"/>
  <c r="AF22" i="5"/>
  <c r="AP22" i="5" s="1"/>
  <c r="AF547" i="5"/>
  <c r="AF531" i="5"/>
  <c r="AF515" i="5"/>
  <c r="AP515" i="5" s="1"/>
  <c r="AF499" i="5"/>
  <c r="AF483" i="5"/>
  <c r="AF467" i="5"/>
  <c r="AF451" i="5"/>
  <c r="AF435" i="5"/>
  <c r="AF419" i="5"/>
  <c r="AF403" i="5"/>
  <c r="AF387" i="5"/>
  <c r="AP387" i="5" s="1"/>
  <c r="AF371" i="5"/>
  <c r="AF355" i="5"/>
  <c r="AF339" i="5"/>
  <c r="AP339" i="5" s="1"/>
  <c r="AF323" i="5"/>
  <c r="AF307" i="5"/>
  <c r="AF291" i="5"/>
  <c r="AF275" i="5"/>
  <c r="AP275" i="5" s="1"/>
  <c r="AF259" i="5"/>
  <c r="AF243" i="5"/>
  <c r="AP243" i="5" s="1"/>
  <c r="AF227" i="5"/>
  <c r="AP227" i="5" s="1"/>
  <c r="AF211" i="5"/>
  <c r="AF195" i="5"/>
  <c r="AF179" i="5"/>
  <c r="AF163" i="5"/>
  <c r="AF147" i="5"/>
  <c r="AF131" i="5"/>
  <c r="AF115" i="5"/>
  <c r="AF99" i="5"/>
  <c r="AF83" i="5"/>
  <c r="AP83" i="5" s="1"/>
  <c r="AF67" i="5"/>
  <c r="AP67" i="5" s="1"/>
  <c r="AF51" i="5"/>
  <c r="AP51" i="5" s="1"/>
  <c r="AF12" i="5"/>
  <c r="AP12" i="5" s="1"/>
  <c r="Q10" i="5"/>
  <c r="S10" i="5" s="1"/>
  <c r="AW10" i="5"/>
  <c r="AX10" i="5" s="1"/>
  <c r="B123" i="2"/>
  <c r="B125" i="2" s="1"/>
  <c r="O9" i="5"/>
  <c r="AM9" i="5" s="1"/>
  <c r="AG11" i="5"/>
  <c r="AH522" i="5"/>
  <c r="AI522" i="5"/>
  <c r="AH458" i="5"/>
  <c r="AI458" i="5"/>
  <c r="AI491" i="5"/>
  <c r="AH491" i="5"/>
  <c r="AH547" i="5"/>
  <c r="AH474" i="5"/>
  <c r="AI461" i="5"/>
  <c r="AH461" i="5"/>
  <c r="AH412" i="5"/>
  <c r="AI412" i="5"/>
  <c r="AH284" i="5"/>
  <c r="AI284" i="5"/>
  <c r="AI226" i="5"/>
  <c r="AH226" i="5"/>
  <c r="AI367" i="5"/>
  <c r="AH337" i="5"/>
  <c r="AI337" i="5"/>
  <c r="AI319" i="5"/>
  <c r="AI265" i="5"/>
  <c r="AH265" i="5"/>
  <c r="AI239" i="5"/>
  <c r="AH239" i="5"/>
  <c r="AH207" i="5"/>
  <c r="AI207" i="5"/>
  <c r="AH442" i="5"/>
  <c r="AI442" i="5"/>
  <c r="AH410" i="5"/>
  <c r="AI410" i="5"/>
  <c r="AH361" i="5"/>
  <c r="AI361" i="5"/>
  <c r="AH334" i="5"/>
  <c r="AI334" i="5"/>
  <c r="AI300" i="5"/>
  <c r="AH300" i="5"/>
  <c r="AH227" i="5"/>
  <c r="AI227" i="5"/>
  <c r="AI427" i="5"/>
  <c r="AH427" i="5"/>
  <c r="AH382" i="5"/>
  <c r="AI382" i="5"/>
  <c r="AH354" i="5"/>
  <c r="AH306" i="5"/>
  <c r="AI306" i="5"/>
  <c r="AH282" i="5"/>
  <c r="AI282" i="5"/>
  <c r="AI243" i="5"/>
  <c r="AH243" i="5"/>
  <c r="AH217" i="5"/>
  <c r="AI217" i="5"/>
  <c r="AH172" i="5"/>
  <c r="AI172" i="5"/>
  <c r="AH141" i="5"/>
  <c r="AI141" i="5"/>
  <c r="AH93" i="5"/>
  <c r="AI93" i="5"/>
  <c r="AH72" i="5"/>
  <c r="AI55" i="5"/>
  <c r="AH55" i="5"/>
  <c r="AH114" i="5"/>
  <c r="AI114" i="5"/>
  <c r="AI89" i="5"/>
  <c r="AH89" i="5"/>
  <c r="AI65" i="5"/>
  <c r="AH174" i="5"/>
  <c r="AI174" i="5"/>
  <c r="AH145" i="5"/>
  <c r="AI145" i="5"/>
  <c r="AH77" i="5"/>
  <c r="AI77" i="5"/>
  <c r="AI186" i="5"/>
  <c r="AH186" i="5"/>
  <c r="AI148" i="5"/>
  <c r="AH106" i="5"/>
  <c r="AI106" i="5"/>
  <c r="AH74" i="5"/>
  <c r="AI74" i="5"/>
  <c r="AH36" i="5"/>
  <c r="AI36" i="5"/>
  <c r="AH37" i="5"/>
  <c r="AI37" i="5"/>
  <c r="AI29" i="5"/>
  <c r="AH21" i="5"/>
  <c r="AH12" i="5"/>
  <c r="AO558" i="5"/>
  <c r="AN558" i="5"/>
  <c r="AN547" i="5"/>
  <c r="AO547" i="5"/>
  <c r="AO524" i="5"/>
  <c r="AN524" i="5"/>
  <c r="AO509" i="5"/>
  <c r="AN509" i="5"/>
  <c r="AO488" i="5"/>
  <c r="AN488" i="5"/>
  <c r="AN471" i="5"/>
  <c r="AO471" i="5"/>
  <c r="AN550" i="5"/>
  <c r="AO550" i="5"/>
  <c r="AO533" i="5"/>
  <c r="AN533" i="5"/>
  <c r="AO523" i="5"/>
  <c r="AN523" i="5"/>
  <c r="AO505" i="5"/>
  <c r="AN505" i="5"/>
  <c r="AO495" i="5"/>
  <c r="AN495" i="5"/>
  <c r="AN462" i="5"/>
  <c r="AO462" i="5"/>
  <c r="AN555" i="5"/>
  <c r="AO555" i="5"/>
  <c r="AO536" i="5"/>
  <c r="AN536" i="5"/>
  <c r="AO521" i="5"/>
  <c r="AN521" i="5"/>
  <c r="AN510" i="5"/>
  <c r="AO510" i="5"/>
  <c r="AN492" i="5"/>
  <c r="AO492" i="5"/>
  <c r="AO465" i="5"/>
  <c r="AN465" i="5"/>
  <c r="AO457" i="5"/>
  <c r="AN457" i="5"/>
  <c r="AO19" i="5"/>
  <c r="AN19" i="5"/>
  <c r="AO540" i="5"/>
  <c r="AN540" i="5"/>
  <c r="AN527" i="5"/>
  <c r="AO527" i="5"/>
  <c r="AO504" i="5"/>
  <c r="AN504" i="5"/>
  <c r="AN496" i="5"/>
  <c r="AO496" i="5"/>
  <c r="AO483" i="5"/>
  <c r="AN483" i="5"/>
  <c r="AO467" i="5"/>
  <c r="AN467" i="5"/>
  <c r="AO451" i="5"/>
  <c r="AN451" i="5"/>
  <c r="AN434" i="5"/>
  <c r="AO434" i="5"/>
  <c r="AN418" i="5"/>
  <c r="AO418" i="5"/>
  <c r="AN402" i="5"/>
  <c r="AO402" i="5"/>
  <c r="AN380" i="5"/>
  <c r="AO380" i="5"/>
  <c r="AO355" i="5"/>
  <c r="AN355" i="5"/>
  <c r="AO339" i="5"/>
  <c r="AN339" i="5"/>
  <c r="AO319" i="5"/>
  <c r="AN319" i="5"/>
  <c r="AN297" i="5"/>
  <c r="AO297" i="5"/>
  <c r="AN286" i="5"/>
  <c r="AO286" i="5"/>
  <c r="AN278" i="5"/>
  <c r="AO278" i="5"/>
  <c r="AN270" i="5"/>
  <c r="AO270" i="5"/>
  <c r="AN262" i="5"/>
  <c r="AO262" i="5"/>
  <c r="AN243" i="5"/>
  <c r="AO243" i="5"/>
  <c r="AO232" i="5"/>
  <c r="AN232" i="5"/>
  <c r="AN221" i="5"/>
  <c r="AO221" i="5"/>
  <c r="AN209" i="5"/>
  <c r="AO209" i="5"/>
  <c r="AN450" i="5"/>
  <c r="AO450" i="5"/>
  <c r="AN438" i="5"/>
  <c r="AO438" i="5"/>
  <c r="AN422" i="5"/>
  <c r="AO422" i="5"/>
  <c r="AN406" i="5"/>
  <c r="AO406" i="5"/>
  <c r="AO388" i="5"/>
  <c r="AN388" i="5"/>
  <c r="AO374" i="5"/>
  <c r="AN374" i="5"/>
  <c r="AN349" i="5"/>
  <c r="AO349" i="5"/>
  <c r="AO327" i="5"/>
  <c r="AN327" i="5"/>
  <c r="AO317" i="5"/>
  <c r="AN317" i="5"/>
  <c r="AO303" i="5"/>
  <c r="AN303" i="5"/>
  <c r="AN258" i="5"/>
  <c r="AO258" i="5"/>
  <c r="AO244" i="5"/>
  <c r="AN244" i="5"/>
  <c r="AO225" i="5"/>
  <c r="AN225" i="5"/>
  <c r="AN206" i="5"/>
  <c r="AO206" i="5"/>
  <c r="AN194" i="5"/>
  <c r="AO194" i="5"/>
  <c r="AO477" i="5"/>
  <c r="AN477" i="5"/>
  <c r="AO445" i="5"/>
  <c r="AN445" i="5"/>
  <c r="AO429" i="5"/>
  <c r="AN429" i="5"/>
  <c r="AO413" i="5"/>
  <c r="AN413" i="5"/>
  <c r="AN397" i="5"/>
  <c r="AO397" i="5"/>
  <c r="AN391" i="5"/>
  <c r="AO391" i="5"/>
  <c r="AO375" i="5"/>
  <c r="AN375" i="5"/>
  <c r="AN360" i="5"/>
  <c r="AO360" i="5"/>
  <c r="AO350" i="5"/>
  <c r="AN350" i="5"/>
  <c r="AO334" i="5"/>
  <c r="AN334" i="5"/>
  <c r="AN329" i="5"/>
  <c r="AO329" i="5"/>
  <c r="AN305" i="5"/>
  <c r="AO305" i="5"/>
  <c r="AO287" i="5"/>
  <c r="AN287" i="5"/>
  <c r="AO271" i="5"/>
  <c r="AN271" i="5"/>
  <c r="AN252" i="5"/>
  <c r="AO252" i="5"/>
  <c r="AO233" i="5"/>
  <c r="AN233" i="5"/>
  <c r="AN219" i="5"/>
  <c r="AO219" i="5"/>
  <c r="AO204" i="5"/>
  <c r="AN204" i="5"/>
  <c r="AN186" i="5"/>
  <c r="AO186" i="5"/>
  <c r="AN430" i="5"/>
  <c r="AO430" i="5"/>
  <c r="AN414" i="5"/>
  <c r="AO414" i="5"/>
  <c r="AN396" i="5"/>
  <c r="AO396" i="5"/>
  <c r="AO382" i="5"/>
  <c r="AN382" i="5"/>
  <c r="AN368" i="5"/>
  <c r="AO368" i="5"/>
  <c r="AN356" i="5"/>
  <c r="AO356" i="5"/>
  <c r="AN340" i="5"/>
  <c r="AO340" i="5"/>
  <c r="AN321" i="5"/>
  <c r="AO321" i="5"/>
  <c r="AO310" i="5"/>
  <c r="AN310" i="5"/>
  <c r="AO295" i="5"/>
  <c r="AN295" i="5"/>
  <c r="AN281" i="5"/>
  <c r="AO281" i="5"/>
  <c r="AN265" i="5"/>
  <c r="AO265" i="5"/>
  <c r="AN250" i="5"/>
  <c r="AO250" i="5"/>
  <c r="AO236" i="5"/>
  <c r="AN236" i="5"/>
  <c r="AN214" i="5"/>
  <c r="AO214" i="5"/>
  <c r="AO195" i="5"/>
  <c r="AN195" i="5"/>
  <c r="AO179" i="5"/>
  <c r="AN179" i="5"/>
  <c r="AN165" i="5"/>
  <c r="AO165" i="5"/>
  <c r="AN146" i="5"/>
  <c r="AO146" i="5"/>
  <c r="AN120" i="5"/>
  <c r="AO120" i="5"/>
  <c r="AN104" i="5"/>
  <c r="AO104" i="5"/>
  <c r="AN91" i="5"/>
  <c r="AO91" i="5"/>
  <c r="AO82" i="5"/>
  <c r="AN82" i="5"/>
  <c r="AO74" i="5"/>
  <c r="AN74" i="5"/>
  <c r="AO66" i="5"/>
  <c r="AN66" i="5"/>
  <c r="AO58" i="5"/>
  <c r="AN58" i="5"/>
  <c r="AN45" i="5"/>
  <c r="AO45" i="5"/>
  <c r="AN182" i="5"/>
  <c r="AO182" i="5"/>
  <c r="AN164" i="5"/>
  <c r="AO164" i="5"/>
  <c r="AO148" i="5"/>
  <c r="AN148" i="5"/>
  <c r="AN124" i="5"/>
  <c r="AO124" i="5"/>
  <c r="AN108" i="5"/>
  <c r="AO108" i="5"/>
  <c r="AN92" i="5"/>
  <c r="AO92" i="5"/>
  <c r="AO180" i="5"/>
  <c r="AN180" i="5"/>
  <c r="AN160" i="5"/>
  <c r="AO160" i="5"/>
  <c r="AN147" i="5"/>
  <c r="AO147" i="5"/>
  <c r="AN140" i="5"/>
  <c r="AO140" i="5"/>
  <c r="AN118" i="5"/>
  <c r="AO118" i="5"/>
  <c r="AN102" i="5"/>
  <c r="AO102" i="5"/>
  <c r="AN83" i="5"/>
  <c r="AO83" i="5"/>
  <c r="AN75" i="5"/>
  <c r="AO75" i="5"/>
  <c r="AN59" i="5"/>
  <c r="AO59" i="5"/>
  <c r="AN197" i="5"/>
  <c r="AO197" i="5"/>
  <c r="AN181" i="5"/>
  <c r="AO181" i="5"/>
  <c r="AO171" i="5"/>
  <c r="AN171" i="5"/>
  <c r="AN152" i="5"/>
  <c r="AO152" i="5"/>
  <c r="AN139" i="5"/>
  <c r="AO139" i="5"/>
  <c r="AN130" i="5"/>
  <c r="AO130" i="5"/>
  <c r="AN116" i="5"/>
  <c r="AO116" i="5"/>
  <c r="AN100" i="5"/>
  <c r="AO100" i="5"/>
  <c r="AN88" i="5"/>
  <c r="AO88" i="5"/>
  <c r="AN61" i="5"/>
  <c r="AO61" i="5"/>
  <c r="AN51" i="5"/>
  <c r="AO51" i="5"/>
  <c r="AN34" i="5"/>
  <c r="AO34" i="5"/>
  <c r="AN44" i="5"/>
  <c r="AO44" i="5"/>
  <c r="AN28" i="5"/>
  <c r="AO28" i="5"/>
  <c r="AN35" i="5"/>
  <c r="AO35" i="5"/>
  <c r="AN27" i="5"/>
  <c r="AO27" i="5"/>
  <c r="AN12" i="5"/>
  <c r="AO12" i="5"/>
  <c r="AH520" i="5"/>
  <c r="AH526" i="5"/>
  <c r="AH469" i="5"/>
  <c r="AI469" i="5"/>
  <c r="AH402" i="5"/>
  <c r="AI309" i="5"/>
  <c r="AH309" i="5"/>
  <c r="AH254" i="5"/>
  <c r="AI254" i="5"/>
  <c r="AI240" i="5"/>
  <c r="AI364" i="5"/>
  <c r="AH364" i="5"/>
  <c r="AI234" i="5"/>
  <c r="AH234" i="5"/>
  <c r="AH488" i="5"/>
  <c r="AI488" i="5"/>
  <c r="AH373" i="5"/>
  <c r="AI373" i="5"/>
  <c r="AI360" i="5"/>
  <c r="AI320" i="5"/>
  <c r="AH320" i="5"/>
  <c r="AH424" i="5"/>
  <c r="AI424" i="5"/>
  <c r="AI408" i="5"/>
  <c r="AH363" i="5"/>
  <c r="AI363" i="5"/>
  <c r="AI253" i="5"/>
  <c r="AH253" i="5"/>
  <c r="AI190" i="5"/>
  <c r="AH190" i="5"/>
  <c r="AH90" i="5"/>
  <c r="AI90" i="5"/>
  <c r="AH180" i="5"/>
  <c r="AI180" i="5"/>
  <c r="AI97" i="5"/>
  <c r="AH97" i="5"/>
  <c r="AH78" i="5"/>
  <c r="AI78" i="5"/>
  <c r="AI182" i="5"/>
  <c r="AH154" i="5"/>
  <c r="AI154" i="5"/>
  <c r="AH144" i="5"/>
  <c r="AH118" i="5"/>
  <c r="AI118" i="5"/>
  <c r="AH193" i="5"/>
  <c r="AI193" i="5"/>
  <c r="AH152" i="5"/>
  <c r="AI152" i="5"/>
  <c r="AH83" i="5"/>
  <c r="AI83" i="5"/>
  <c r="AH63" i="5"/>
  <c r="AI63" i="5"/>
  <c r="AH42" i="5"/>
  <c r="AI42" i="5"/>
  <c r="AH26" i="5"/>
  <c r="AI26" i="5"/>
  <c r="AH8" i="5"/>
  <c r="AO556" i="5"/>
  <c r="AN556" i="5"/>
  <c r="AN546" i="5"/>
  <c r="AO546" i="5"/>
  <c r="AN520" i="5"/>
  <c r="AO520" i="5"/>
  <c r="AN506" i="5"/>
  <c r="AO506" i="5"/>
  <c r="AN487" i="5"/>
  <c r="AO487" i="5"/>
  <c r="AO449" i="5"/>
  <c r="AN449" i="5"/>
  <c r="AO548" i="5"/>
  <c r="AN548" i="5"/>
  <c r="AO532" i="5"/>
  <c r="AN532" i="5"/>
  <c r="AO519" i="5"/>
  <c r="AN519" i="5"/>
  <c r="AO503" i="5"/>
  <c r="AN503" i="5"/>
  <c r="AN490" i="5"/>
  <c r="AO490" i="5"/>
  <c r="AN458" i="5"/>
  <c r="AO458" i="5"/>
  <c r="AO552" i="5"/>
  <c r="AN552" i="5"/>
  <c r="AN530" i="5"/>
  <c r="AO530" i="5"/>
  <c r="AN514" i="5"/>
  <c r="AO514" i="5"/>
  <c r="AO508" i="5"/>
  <c r="AN508" i="5"/>
  <c r="AO481" i="5"/>
  <c r="AN481" i="5"/>
  <c r="AN464" i="5"/>
  <c r="AO464" i="5"/>
  <c r="AN456" i="5"/>
  <c r="AO456" i="5"/>
  <c r="AN553" i="5"/>
  <c r="AO553" i="5"/>
  <c r="AN537" i="5"/>
  <c r="AO537" i="5"/>
  <c r="AN526" i="5"/>
  <c r="AO526" i="5"/>
  <c r="AO501" i="5"/>
  <c r="AN501" i="5"/>
  <c r="AO489" i="5"/>
  <c r="AN489" i="5"/>
  <c r="AN478" i="5"/>
  <c r="AO478" i="5"/>
  <c r="AO463" i="5"/>
  <c r="AN463" i="5"/>
  <c r="AN444" i="5"/>
  <c r="AO444" i="5"/>
  <c r="AN428" i="5"/>
  <c r="AO428" i="5"/>
  <c r="AN412" i="5"/>
  <c r="AO412" i="5"/>
  <c r="AO398" i="5"/>
  <c r="AN398" i="5"/>
  <c r="AN369" i="5"/>
  <c r="AO369" i="5"/>
  <c r="AN345" i="5"/>
  <c r="AO345" i="5"/>
  <c r="AN332" i="5"/>
  <c r="AO332" i="5"/>
  <c r="AO311" i="5"/>
  <c r="AN311" i="5"/>
  <c r="AN292" i="5"/>
  <c r="AO292" i="5"/>
  <c r="AN284" i="5"/>
  <c r="AO284" i="5"/>
  <c r="AN276" i="5"/>
  <c r="AO276" i="5"/>
  <c r="AN268" i="5"/>
  <c r="AO268" i="5"/>
  <c r="AN260" i="5"/>
  <c r="AO260" i="5"/>
  <c r="AN241" i="5"/>
  <c r="AO241" i="5"/>
  <c r="AN229" i="5"/>
  <c r="AO229" i="5"/>
  <c r="AN218" i="5"/>
  <c r="AO218" i="5"/>
  <c r="AN202" i="5"/>
  <c r="AO202" i="5"/>
  <c r="AN448" i="5"/>
  <c r="AO448" i="5"/>
  <c r="AN432" i="5"/>
  <c r="AO432" i="5"/>
  <c r="AN416" i="5"/>
  <c r="AO416" i="5"/>
  <c r="AN400" i="5"/>
  <c r="AO400" i="5"/>
  <c r="AO379" i="5"/>
  <c r="AN379" i="5"/>
  <c r="AN365" i="5"/>
  <c r="AO365" i="5"/>
  <c r="AO348" i="5"/>
  <c r="AN348" i="5"/>
  <c r="AO325" i="5"/>
  <c r="AN325" i="5"/>
  <c r="AO314" i="5"/>
  <c r="AN314" i="5"/>
  <c r="AO301" i="5"/>
  <c r="AN301" i="5"/>
  <c r="AO257" i="5"/>
  <c r="AN257" i="5"/>
  <c r="AN237" i="5"/>
  <c r="AO237" i="5"/>
  <c r="AO223" i="5"/>
  <c r="AN223" i="5"/>
  <c r="AO203" i="5"/>
  <c r="AN203" i="5"/>
  <c r="AO192" i="5"/>
  <c r="AN192" i="5"/>
  <c r="AO475" i="5"/>
  <c r="AN475" i="5"/>
  <c r="AN442" i="5"/>
  <c r="AO442" i="5"/>
  <c r="AN426" i="5"/>
  <c r="AO426" i="5"/>
  <c r="AN410" i="5"/>
  <c r="AO410" i="5"/>
  <c r="AN395" i="5"/>
  <c r="AO395" i="5"/>
  <c r="AN385" i="5"/>
  <c r="AO385" i="5"/>
  <c r="AN372" i="5"/>
  <c r="AO372" i="5"/>
  <c r="AO358" i="5"/>
  <c r="AN358" i="5"/>
  <c r="AN347" i="5"/>
  <c r="AO347" i="5"/>
  <c r="AN333" i="5"/>
  <c r="AO333" i="5"/>
  <c r="AO322" i="5"/>
  <c r="AN322" i="5"/>
  <c r="AN300" i="5"/>
  <c r="AO300" i="5"/>
  <c r="AO283" i="5"/>
  <c r="AN283" i="5"/>
  <c r="AO267" i="5"/>
  <c r="AN267" i="5"/>
  <c r="AN249" i="5"/>
  <c r="AO249" i="5"/>
  <c r="AN231" i="5"/>
  <c r="AO231" i="5"/>
  <c r="AN217" i="5"/>
  <c r="AO217" i="5"/>
  <c r="AN201" i="5"/>
  <c r="AO201" i="5"/>
  <c r="AN440" i="5"/>
  <c r="AO440" i="5"/>
  <c r="AN424" i="5"/>
  <c r="AO424" i="5"/>
  <c r="AN408" i="5"/>
  <c r="AO408" i="5"/>
  <c r="AN389" i="5"/>
  <c r="AO389" i="5"/>
  <c r="AN377" i="5"/>
  <c r="AO377" i="5"/>
  <c r="AO366" i="5"/>
  <c r="AN366" i="5"/>
  <c r="AO354" i="5"/>
  <c r="AN354" i="5"/>
  <c r="AO338" i="5"/>
  <c r="AN338" i="5"/>
  <c r="AO318" i="5"/>
  <c r="AN318" i="5"/>
  <c r="AN308" i="5"/>
  <c r="AO308" i="5"/>
  <c r="AN293" i="5"/>
  <c r="AO293" i="5"/>
  <c r="AN277" i="5"/>
  <c r="AO277" i="5"/>
  <c r="AN261" i="5"/>
  <c r="AO261" i="5"/>
  <c r="AN246" i="5"/>
  <c r="AO246" i="5"/>
  <c r="AN230" i="5"/>
  <c r="AO230" i="5"/>
  <c r="AN211" i="5"/>
  <c r="AO211" i="5"/>
  <c r="AN193" i="5"/>
  <c r="AO193" i="5"/>
  <c r="AN176" i="5"/>
  <c r="AO176" i="5"/>
  <c r="AO163" i="5"/>
  <c r="AN163" i="5"/>
  <c r="AN134" i="5"/>
  <c r="AO134" i="5"/>
  <c r="AN119" i="5"/>
  <c r="AO119" i="5"/>
  <c r="AN103" i="5"/>
  <c r="AO103" i="5"/>
  <c r="AO90" i="5"/>
  <c r="AN90" i="5"/>
  <c r="AN79" i="5"/>
  <c r="AO79" i="5"/>
  <c r="AN72" i="5"/>
  <c r="AO72" i="5"/>
  <c r="AN64" i="5"/>
  <c r="AO64" i="5"/>
  <c r="AN56" i="5"/>
  <c r="AO56" i="5"/>
  <c r="AN41" i="5"/>
  <c r="AO41" i="5"/>
  <c r="AN178" i="5"/>
  <c r="AO178" i="5"/>
  <c r="AO161" i="5"/>
  <c r="AN161" i="5"/>
  <c r="AN136" i="5"/>
  <c r="AO136" i="5"/>
  <c r="AO123" i="5"/>
  <c r="AN123" i="5"/>
  <c r="AO107" i="5"/>
  <c r="AN107" i="5"/>
  <c r="AN84" i="5"/>
  <c r="AO84" i="5"/>
  <c r="AN173" i="5"/>
  <c r="AO173" i="5"/>
  <c r="AO154" i="5"/>
  <c r="AN154" i="5"/>
  <c r="AO145" i="5"/>
  <c r="AN145" i="5"/>
  <c r="AN135" i="5"/>
  <c r="AO135" i="5"/>
  <c r="AN112" i="5"/>
  <c r="AO112" i="5"/>
  <c r="AN96" i="5"/>
  <c r="AO96" i="5"/>
  <c r="AN81" i="5"/>
  <c r="AO81" i="5"/>
  <c r="AN71" i="5"/>
  <c r="AO71" i="5"/>
  <c r="AO53" i="5"/>
  <c r="AN53" i="5"/>
  <c r="AN190" i="5"/>
  <c r="AO190" i="5"/>
  <c r="AN177" i="5"/>
  <c r="AO177" i="5"/>
  <c r="AN168" i="5"/>
  <c r="AO168" i="5"/>
  <c r="AO149" i="5"/>
  <c r="AN149" i="5"/>
  <c r="AO138" i="5"/>
  <c r="AN138" i="5"/>
  <c r="AN127" i="5"/>
  <c r="AO127" i="5"/>
  <c r="AN115" i="5"/>
  <c r="AO115" i="5"/>
  <c r="AN99" i="5"/>
  <c r="AO99" i="5"/>
  <c r="AN73" i="5"/>
  <c r="AO73" i="5"/>
  <c r="AN57" i="5"/>
  <c r="AO57" i="5"/>
  <c r="AN49" i="5"/>
  <c r="AO49" i="5"/>
  <c r="AN30" i="5"/>
  <c r="AO30" i="5"/>
  <c r="AN40" i="5"/>
  <c r="AO40" i="5"/>
  <c r="AN24" i="5"/>
  <c r="AO24" i="5"/>
  <c r="AN33" i="5"/>
  <c r="AO33" i="5"/>
  <c r="AN25" i="5"/>
  <c r="AO25" i="5"/>
  <c r="AN13" i="5"/>
  <c r="AO13" i="5"/>
  <c r="AQ7" i="4"/>
  <c r="AH551" i="5"/>
  <c r="AI551" i="5"/>
  <c r="AH500" i="5"/>
  <c r="AI500" i="5"/>
  <c r="AH541" i="5"/>
  <c r="AI541" i="5"/>
  <c r="AI515" i="5"/>
  <c r="AH515" i="5"/>
  <c r="AI521" i="5"/>
  <c r="AI260" i="5"/>
  <c r="AI196" i="5"/>
  <c r="AI218" i="5"/>
  <c r="AH218" i="5"/>
  <c r="AI202" i="5"/>
  <c r="AH202" i="5"/>
  <c r="AH379" i="5"/>
  <c r="AI379" i="5"/>
  <c r="AH341" i="5"/>
  <c r="AH331" i="5"/>
  <c r="AI331" i="5"/>
  <c r="AI303" i="5"/>
  <c r="AH446" i="5"/>
  <c r="AI446" i="5"/>
  <c r="AH395" i="5"/>
  <c r="AI395" i="5"/>
  <c r="AH369" i="5"/>
  <c r="AI369" i="5"/>
  <c r="AH262" i="5"/>
  <c r="AI262" i="5"/>
  <c r="AH212" i="5"/>
  <c r="AI212" i="5"/>
  <c r="AH178" i="5"/>
  <c r="AI178" i="5"/>
  <c r="AH169" i="5"/>
  <c r="AH120" i="5"/>
  <c r="AI120" i="5"/>
  <c r="AI81" i="5"/>
  <c r="AI64" i="5"/>
  <c r="AH64" i="5"/>
  <c r="AI173" i="5"/>
  <c r="AH173" i="5"/>
  <c r="AI156" i="5"/>
  <c r="AH156" i="5"/>
  <c r="AH191" i="5"/>
  <c r="AI191" i="5"/>
  <c r="AH167" i="5"/>
  <c r="AI167" i="5"/>
  <c r="AI130" i="5"/>
  <c r="AH62" i="5"/>
  <c r="AI62" i="5"/>
  <c r="AH28" i="5"/>
  <c r="AI28" i="5"/>
  <c r="AH25" i="5"/>
  <c r="AI25" i="5"/>
  <c r="AN554" i="5"/>
  <c r="AO554" i="5"/>
  <c r="AO560" i="5"/>
  <c r="AN560" i="5"/>
  <c r="AO544" i="5"/>
  <c r="AN544" i="5"/>
  <c r="AN516" i="5"/>
  <c r="AO516" i="5"/>
  <c r="AO493" i="5"/>
  <c r="AN493" i="5"/>
  <c r="AO473" i="5"/>
  <c r="AN473" i="5"/>
  <c r="AN559" i="5"/>
  <c r="AO559" i="5"/>
  <c r="AN545" i="5"/>
  <c r="AO545" i="5"/>
  <c r="AO531" i="5"/>
  <c r="AN531" i="5"/>
  <c r="AO517" i="5"/>
  <c r="AN517" i="5"/>
  <c r="AO500" i="5"/>
  <c r="AN500" i="5"/>
  <c r="AN482" i="5"/>
  <c r="AO482" i="5"/>
  <c r="AN454" i="5"/>
  <c r="AO454" i="5"/>
  <c r="AN539" i="5"/>
  <c r="AO539" i="5"/>
  <c r="AN528" i="5"/>
  <c r="AO528" i="5"/>
  <c r="AO513" i="5"/>
  <c r="AN513" i="5"/>
  <c r="AN502" i="5"/>
  <c r="AO502" i="5"/>
  <c r="AN480" i="5"/>
  <c r="AO480" i="5"/>
  <c r="AO461" i="5"/>
  <c r="AN461" i="5"/>
  <c r="AO453" i="5"/>
  <c r="AN453" i="5"/>
  <c r="AN543" i="5"/>
  <c r="AO543" i="5"/>
  <c r="AN534" i="5"/>
  <c r="AO534" i="5"/>
  <c r="AN518" i="5"/>
  <c r="AO518" i="5"/>
  <c r="AN499" i="5"/>
  <c r="AO499" i="5"/>
  <c r="AN474" i="5"/>
  <c r="AO474" i="5"/>
  <c r="AN476" i="5"/>
  <c r="AO476" i="5"/>
  <c r="AO459" i="5"/>
  <c r="AN459" i="5"/>
  <c r="AN443" i="5"/>
  <c r="AO443" i="5"/>
  <c r="AN427" i="5"/>
  <c r="AO427" i="5"/>
  <c r="AN411" i="5"/>
  <c r="AO411" i="5"/>
  <c r="AO394" i="5"/>
  <c r="AN394" i="5"/>
  <c r="AN367" i="5"/>
  <c r="AO367" i="5"/>
  <c r="AN344" i="5"/>
  <c r="AO344" i="5"/>
  <c r="AN328" i="5"/>
  <c r="AO328" i="5"/>
  <c r="AN306" i="5"/>
  <c r="AO306" i="5"/>
  <c r="AN290" i="5"/>
  <c r="AO290" i="5"/>
  <c r="AN282" i="5"/>
  <c r="AO282" i="5"/>
  <c r="AN274" i="5"/>
  <c r="AO274" i="5"/>
  <c r="AN266" i="5"/>
  <c r="AO266" i="5"/>
  <c r="AN254" i="5"/>
  <c r="AO254" i="5"/>
  <c r="AO240" i="5"/>
  <c r="AN240" i="5"/>
  <c r="AN227" i="5"/>
  <c r="AO227" i="5"/>
  <c r="AN215" i="5"/>
  <c r="AO215" i="5"/>
  <c r="AN199" i="5"/>
  <c r="AO199" i="5"/>
  <c r="AN447" i="5"/>
  <c r="AO447" i="5"/>
  <c r="AO431" i="5"/>
  <c r="AN431" i="5"/>
  <c r="AO415" i="5"/>
  <c r="AN415" i="5"/>
  <c r="AO399" i="5"/>
  <c r="AN399" i="5"/>
  <c r="AO378" i="5"/>
  <c r="AN378" i="5"/>
  <c r="AO364" i="5"/>
  <c r="AN364" i="5"/>
  <c r="AO346" i="5"/>
  <c r="AN346" i="5"/>
  <c r="AN324" i="5"/>
  <c r="AO324" i="5"/>
  <c r="AN312" i="5"/>
  <c r="AO312" i="5"/>
  <c r="AN296" i="5"/>
  <c r="AO296" i="5"/>
  <c r="AO251" i="5"/>
  <c r="AN251" i="5"/>
  <c r="AO235" i="5"/>
  <c r="AN235" i="5"/>
  <c r="AO216" i="5"/>
  <c r="AN216" i="5"/>
  <c r="AO200" i="5"/>
  <c r="AN200" i="5"/>
  <c r="AN486" i="5"/>
  <c r="AO486" i="5"/>
  <c r="AN470" i="5"/>
  <c r="AO470" i="5"/>
  <c r="AN436" i="5"/>
  <c r="AO436" i="5"/>
  <c r="AN420" i="5"/>
  <c r="AO420" i="5"/>
  <c r="AN404" i="5"/>
  <c r="AO404" i="5"/>
  <c r="AO393" i="5"/>
  <c r="AN393" i="5"/>
  <c r="AN384" i="5"/>
  <c r="AO384" i="5"/>
  <c r="AO370" i="5"/>
  <c r="AN370" i="5"/>
  <c r="AN353" i="5"/>
  <c r="AO353" i="5"/>
  <c r="AN337" i="5"/>
  <c r="AO337" i="5"/>
  <c r="AO331" i="5"/>
  <c r="AN331" i="5"/>
  <c r="AO315" i="5"/>
  <c r="AN315" i="5"/>
  <c r="AO298" i="5"/>
  <c r="AN298" i="5"/>
  <c r="AO279" i="5"/>
  <c r="AN279" i="5"/>
  <c r="AO263" i="5"/>
  <c r="AN263" i="5"/>
  <c r="AO248" i="5"/>
  <c r="AN248" i="5"/>
  <c r="AO228" i="5"/>
  <c r="AN228" i="5"/>
  <c r="AN210" i="5"/>
  <c r="AO210" i="5"/>
  <c r="AN198" i="5"/>
  <c r="AO198" i="5"/>
  <c r="AN439" i="5"/>
  <c r="AO439" i="5"/>
  <c r="AN423" i="5"/>
  <c r="AO423" i="5"/>
  <c r="AN407" i="5"/>
  <c r="AO407" i="5"/>
  <c r="AO386" i="5"/>
  <c r="AN386" i="5"/>
  <c r="AN373" i="5"/>
  <c r="AO373" i="5"/>
  <c r="AN361" i="5"/>
  <c r="AO361" i="5"/>
  <c r="AN351" i="5"/>
  <c r="AO351" i="5"/>
  <c r="AN335" i="5"/>
  <c r="AO335" i="5"/>
  <c r="AN316" i="5"/>
  <c r="AO316" i="5"/>
  <c r="AN304" i="5"/>
  <c r="AO304" i="5"/>
  <c r="AN289" i="5"/>
  <c r="AO289" i="5"/>
  <c r="AN273" i="5"/>
  <c r="AO273" i="5"/>
  <c r="AO259" i="5"/>
  <c r="AN259" i="5"/>
  <c r="AN242" i="5"/>
  <c r="AO242" i="5"/>
  <c r="AO224" i="5"/>
  <c r="AN224" i="5"/>
  <c r="AO208" i="5"/>
  <c r="AN208" i="5"/>
  <c r="AO188" i="5"/>
  <c r="AN188" i="5"/>
  <c r="AO172" i="5"/>
  <c r="AN172" i="5"/>
  <c r="AO155" i="5"/>
  <c r="AN155" i="5"/>
  <c r="AN128" i="5"/>
  <c r="AO128" i="5"/>
  <c r="AO113" i="5"/>
  <c r="AN113" i="5"/>
  <c r="AO97" i="5"/>
  <c r="AN97" i="5"/>
  <c r="AN87" i="5"/>
  <c r="AO87" i="5"/>
  <c r="AN77" i="5"/>
  <c r="AO77" i="5"/>
  <c r="AO70" i="5"/>
  <c r="AN70" i="5"/>
  <c r="AO62" i="5"/>
  <c r="AN62" i="5"/>
  <c r="AN55" i="5"/>
  <c r="AO55" i="5"/>
  <c r="AN39" i="5"/>
  <c r="AO39" i="5"/>
  <c r="AN170" i="5"/>
  <c r="AO170" i="5"/>
  <c r="AO159" i="5"/>
  <c r="AN159" i="5"/>
  <c r="AN132" i="5"/>
  <c r="AO132" i="5"/>
  <c r="AO117" i="5"/>
  <c r="AN117" i="5"/>
  <c r="AO101" i="5"/>
  <c r="AN101" i="5"/>
  <c r="AN54" i="5"/>
  <c r="AO54" i="5"/>
  <c r="AO167" i="5"/>
  <c r="AN167" i="5"/>
  <c r="AN153" i="5"/>
  <c r="AO153" i="5"/>
  <c r="AN144" i="5"/>
  <c r="AO144" i="5"/>
  <c r="AO129" i="5"/>
  <c r="AN129" i="5"/>
  <c r="AN111" i="5"/>
  <c r="AO111" i="5"/>
  <c r="AN95" i="5"/>
  <c r="AO95" i="5"/>
  <c r="AN80" i="5"/>
  <c r="AO80" i="5"/>
  <c r="AN67" i="5"/>
  <c r="AO67" i="5"/>
  <c r="AO48" i="5"/>
  <c r="AN48" i="5"/>
  <c r="AO187" i="5"/>
  <c r="AN187" i="5"/>
  <c r="AO175" i="5"/>
  <c r="AN175" i="5"/>
  <c r="AO158" i="5"/>
  <c r="AN158" i="5"/>
  <c r="AN142" i="5"/>
  <c r="AO142" i="5"/>
  <c r="AO137" i="5"/>
  <c r="AN137" i="5"/>
  <c r="AO125" i="5"/>
  <c r="AN125" i="5"/>
  <c r="AO109" i="5"/>
  <c r="AN109" i="5"/>
  <c r="AO93" i="5"/>
  <c r="AN93" i="5"/>
  <c r="AN69" i="5"/>
  <c r="AO69" i="5"/>
  <c r="AN52" i="5"/>
  <c r="AO52" i="5"/>
  <c r="AN42" i="5"/>
  <c r="AO42" i="5"/>
  <c r="AN26" i="5"/>
  <c r="AO26" i="5"/>
  <c r="AN36" i="5"/>
  <c r="AO36" i="5"/>
  <c r="AN20" i="5"/>
  <c r="AO20" i="5"/>
  <c r="AN31" i="5"/>
  <c r="AO31" i="5"/>
  <c r="AN23" i="5"/>
  <c r="AO23" i="5"/>
  <c r="AN7" i="5"/>
  <c r="AO7" i="5"/>
  <c r="AH509" i="5"/>
  <c r="AI509" i="5"/>
  <c r="AI479" i="5"/>
  <c r="AI538" i="5"/>
  <c r="AH538" i="5"/>
  <c r="AH559" i="5"/>
  <c r="AI559" i="5"/>
  <c r="AH456" i="5"/>
  <c r="AI456" i="5"/>
  <c r="AI399" i="5"/>
  <c r="AH399" i="5"/>
  <c r="AI380" i="5"/>
  <c r="AI359" i="5"/>
  <c r="AH272" i="5"/>
  <c r="AI272" i="5"/>
  <c r="AH246" i="5"/>
  <c r="AH205" i="5"/>
  <c r="AI205" i="5"/>
  <c r="AI435" i="5"/>
  <c r="AI339" i="5"/>
  <c r="AH324" i="5"/>
  <c r="AI324" i="5"/>
  <c r="AH228" i="5"/>
  <c r="AI228" i="5"/>
  <c r="AH187" i="5"/>
  <c r="AI187" i="5"/>
  <c r="AH436" i="5"/>
  <c r="AI436" i="5"/>
  <c r="AH404" i="5"/>
  <c r="AI404" i="5"/>
  <c r="AI352" i="5"/>
  <c r="AH352" i="5"/>
  <c r="AH330" i="5"/>
  <c r="AI330" i="5"/>
  <c r="AH251" i="5"/>
  <c r="AI251" i="5"/>
  <c r="AH220" i="5"/>
  <c r="AI220" i="5"/>
  <c r="AH413" i="5"/>
  <c r="AI413" i="5"/>
  <c r="AI368" i="5"/>
  <c r="AH368" i="5"/>
  <c r="AH291" i="5"/>
  <c r="AI291" i="5"/>
  <c r="AH275" i="5"/>
  <c r="AI275" i="5"/>
  <c r="AH233" i="5"/>
  <c r="AI233" i="5"/>
  <c r="AI210" i="5"/>
  <c r="AH210" i="5"/>
  <c r="AH166" i="5"/>
  <c r="AI166" i="5"/>
  <c r="AI134" i="5"/>
  <c r="AH134" i="5"/>
  <c r="AH76" i="5"/>
  <c r="AI76" i="5"/>
  <c r="AH60" i="5"/>
  <c r="AI185" i="5"/>
  <c r="AH185" i="5"/>
  <c r="AH108" i="5"/>
  <c r="AI108" i="5"/>
  <c r="AI84" i="5"/>
  <c r="AH84" i="5"/>
  <c r="AH159" i="5"/>
  <c r="AI159" i="5"/>
  <c r="AI135" i="5"/>
  <c r="AH135" i="5"/>
  <c r="AH47" i="5"/>
  <c r="AI47" i="5"/>
  <c r="AI165" i="5"/>
  <c r="AH165" i="5"/>
  <c r="AH100" i="5"/>
  <c r="AI100" i="5"/>
  <c r="AH67" i="5"/>
  <c r="AI67" i="5"/>
  <c r="AH24" i="5"/>
  <c r="AI24" i="5"/>
  <c r="AH30" i="5"/>
  <c r="AI30" i="5"/>
  <c r="AI22" i="5"/>
  <c r="AN549" i="5"/>
  <c r="AO549" i="5"/>
  <c r="AN557" i="5"/>
  <c r="AO557" i="5"/>
  <c r="AN541" i="5"/>
  <c r="AO541" i="5"/>
  <c r="AN515" i="5"/>
  <c r="AO515" i="5"/>
  <c r="AN491" i="5"/>
  <c r="AO491" i="5"/>
  <c r="AO472" i="5"/>
  <c r="AN472" i="5"/>
  <c r="AN551" i="5"/>
  <c r="AO551" i="5"/>
  <c r="AN535" i="5"/>
  <c r="AO535" i="5"/>
  <c r="AO525" i="5"/>
  <c r="AN525" i="5"/>
  <c r="AN512" i="5"/>
  <c r="AO512" i="5"/>
  <c r="AO497" i="5"/>
  <c r="AN497" i="5"/>
  <c r="AN466" i="5"/>
  <c r="AO466" i="5"/>
  <c r="AN446" i="5"/>
  <c r="AO446" i="5"/>
  <c r="AN538" i="5"/>
  <c r="AO538" i="5"/>
  <c r="AN522" i="5"/>
  <c r="AO522" i="5"/>
  <c r="AN511" i="5"/>
  <c r="AO511" i="5"/>
  <c r="AN494" i="5"/>
  <c r="AO494" i="5"/>
  <c r="AN479" i="5"/>
  <c r="AO479" i="5"/>
  <c r="AN460" i="5"/>
  <c r="AO460" i="5"/>
  <c r="AN452" i="5"/>
  <c r="AO452" i="5"/>
  <c r="AO542" i="5"/>
  <c r="AN542" i="5"/>
  <c r="AO529" i="5"/>
  <c r="AN529" i="5"/>
  <c r="AN507" i="5"/>
  <c r="AO507" i="5"/>
  <c r="AN498" i="5"/>
  <c r="AO498" i="5"/>
  <c r="AO485" i="5"/>
  <c r="AN485" i="5"/>
  <c r="AO469" i="5"/>
  <c r="AN469" i="5"/>
  <c r="AO455" i="5"/>
  <c r="AN455" i="5"/>
  <c r="AO437" i="5"/>
  <c r="AN437" i="5"/>
  <c r="AO421" i="5"/>
  <c r="AN421" i="5"/>
  <c r="AO405" i="5"/>
  <c r="AN405" i="5"/>
  <c r="AO387" i="5"/>
  <c r="AN387" i="5"/>
  <c r="AN357" i="5"/>
  <c r="AO357" i="5"/>
  <c r="AO342" i="5"/>
  <c r="AN342" i="5"/>
  <c r="AN326" i="5"/>
  <c r="AO326" i="5"/>
  <c r="AO299" i="5"/>
  <c r="AN299" i="5"/>
  <c r="AN288" i="5"/>
  <c r="AO288" i="5"/>
  <c r="AN280" i="5"/>
  <c r="AO280" i="5"/>
  <c r="AN272" i="5"/>
  <c r="AO272" i="5"/>
  <c r="AN264" i="5"/>
  <c r="AO264" i="5"/>
  <c r="AN253" i="5"/>
  <c r="AO253" i="5"/>
  <c r="AN238" i="5"/>
  <c r="AO238" i="5"/>
  <c r="AN226" i="5"/>
  <c r="AO226" i="5"/>
  <c r="AO212" i="5"/>
  <c r="AN212" i="5"/>
  <c r="AN183" i="5"/>
  <c r="AO183" i="5"/>
  <c r="AO441" i="5"/>
  <c r="AN441" i="5"/>
  <c r="AO425" i="5"/>
  <c r="AN425" i="5"/>
  <c r="AO409" i="5"/>
  <c r="AN409" i="5"/>
  <c r="AO390" i="5"/>
  <c r="AN390" i="5"/>
  <c r="AO376" i="5"/>
  <c r="AN376" i="5"/>
  <c r="AO362" i="5"/>
  <c r="AN362" i="5"/>
  <c r="AO343" i="5"/>
  <c r="AN343" i="5"/>
  <c r="AN320" i="5"/>
  <c r="AO320" i="5"/>
  <c r="AO309" i="5"/>
  <c r="AN309" i="5"/>
  <c r="AN294" i="5"/>
  <c r="AO294" i="5"/>
  <c r="AO247" i="5"/>
  <c r="AN247" i="5"/>
  <c r="AN234" i="5"/>
  <c r="AO234" i="5"/>
  <c r="AN213" i="5"/>
  <c r="AO213" i="5"/>
  <c r="AO196" i="5"/>
  <c r="AN196" i="5"/>
  <c r="AN484" i="5"/>
  <c r="AO484" i="5"/>
  <c r="AN468" i="5"/>
  <c r="AO468" i="5"/>
  <c r="AN435" i="5"/>
  <c r="AO435" i="5"/>
  <c r="AN419" i="5"/>
  <c r="AO419" i="5"/>
  <c r="AN403" i="5"/>
  <c r="AO403" i="5"/>
  <c r="AN392" i="5"/>
  <c r="AO392" i="5"/>
  <c r="AN381" i="5"/>
  <c r="AO381" i="5"/>
  <c r="AN363" i="5"/>
  <c r="AO363" i="5"/>
  <c r="AN352" i="5"/>
  <c r="AO352" i="5"/>
  <c r="AN336" i="5"/>
  <c r="AO336" i="5"/>
  <c r="AN330" i="5"/>
  <c r="AO330" i="5"/>
  <c r="AO307" i="5"/>
  <c r="AN307" i="5"/>
  <c r="AO291" i="5"/>
  <c r="AN291" i="5"/>
  <c r="AO275" i="5"/>
  <c r="AN275" i="5"/>
  <c r="AO255" i="5"/>
  <c r="AN255" i="5"/>
  <c r="AN245" i="5"/>
  <c r="AO245" i="5"/>
  <c r="AN222" i="5"/>
  <c r="AO222" i="5"/>
  <c r="AN207" i="5"/>
  <c r="AO207" i="5"/>
  <c r="AN191" i="5"/>
  <c r="AO191" i="5"/>
  <c r="AO433" i="5"/>
  <c r="AN433" i="5"/>
  <c r="AO417" i="5"/>
  <c r="AN417" i="5"/>
  <c r="AO401" i="5"/>
  <c r="AN401" i="5"/>
  <c r="AN383" i="5"/>
  <c r="AO383" i="5"/>
  <c r="AO371" i="5"/>
  <c r="AN371" i="5"/>
  <c r="AO359" i="5"/>
  <c r="AN359" i="5"/>
  <c r="AN341" i="5"/>
  <c r="AO341" i="5"/>
  <c r="AO323" i="5"/>
  <c r="AN323" i="5"/>
  <c r="AN313" i="5"/>
  <c r="AO313" i="5"/>
  <c r="AN302" i="5"/>
  <c r="AO302" i="5"/>
  <c r="AN285" i="5"/>
  <c r="AO285" i="5"/>
  <c r="AN269" i="5"/>
  <c r="AO269" i="5"/>
  <c r="AN256" i="5"/>
  <c r="AO256" i="5"/>
  <c r="AN239" i="5"/>
  <c r="AO239" i="5"/>
  <c r="AO220" i="5"/>
  <c r="AN220" i="5"/>
  <c r="AN205" i="5"/>
  <c r="AO205" i="5"/>
  <c r="AN185" i="5"/>
  <c r="AO185" i="5"/>
  <c r="AO166" i="5"/>
  <c r="AN166" i="5"/>
  <c r="AN151" i="5"/>
  <c r="AO151" i="5"/>
  <c r="AN126" i="5"/>
  <c r="AO126" i="5"/>
  <c r="AN110" i="5"/>
  <c r="AO110" i="5"/>
  <c r="AN94" i="5"/>
  <c r="AO94" i="5"/>
  <c r="AN85" i="5"/>
  <c r="AO85" i="5"/>
  <c r="AN76" i="5"/>
  <c r="AO76" i="5"/>
  <c r="AN68" i="5"/>
  <c r="AO68" i="5"/>
  <c r="AN60" i="5"/>
  <c r="AO60" i="5"/>
  <c r="AN50" i="5"/>
  <c r="AO50" i="5"/>
  <c r="AN189" i="5"/>
  <c r="AO189" i="5"/>
  <c r="AO169" i="5"/>
  <c r="AN169" i="5"/>
  <c r="AN156" i="5"/>
  <c r="AO156" i="5"/>
  <c r="AO131" i="5"/>
  <c r="AN131" i="5"/>
  <c r="AN114" i="5"/>
  <c r="AO114" i="5"/>
  <c r="AN98" i="5"/>
  <c r="AO98" i="5"/>
  <c r="AN43" i="5"/>
  <c r="AO43" i="5"/>
  <c r="AO162" i="5"/>
  <c r="AN162" i="5"/>
  <c r="AN150" i="5"/>
  <c r="AO150" i="5"/>
  <c r="AN143" i="5"/>
  <c r="AO143" i="5"/>
  <c r="AO121" i="5"/>
  <c r="AN121" i="5"/>
  <c r="AO105" i="5"/>
  <c r="AN105" i="5"/>
  <c r="AO86" i="5"/>
  <c r="AN86" i="5"/>
  <c r="AO78" i="5"/>
  <c r="AN78" i="5"/>
  <c r="AN63" i="5"/>
  <c r="AO63" i="5"/>
  <c r="AN47" i="5"/>
  <c r="AO47" i="5"/>
  <c r="AO184" i="5"/>
  <c r="AN184" i="5"/>
  <c r="AN174" i="5"/>
  <c r="AO174" i="5"/>
  <c r="AN157" i="5"/>
  <c r="AO157" i="5"/>
  <c r="AO141" i="5"/>
  <c r="AN141" i="5"/>
  <c r="AO133" i="5"/>
  <c r="AN133" i="5"/>
  <c r="AN122" i="5"/>
  <c r="AO122" i="5"/>
  <c r="AN106" i="5"/>
  <c r="AO106" i="5"/>
  <c r="AN89" i="5"/>
  <c r="AO89" i="5"/>
  <c r="AN65" i="5"/>
  <c r="AO65" i="5"/>
  <c r="AN46" i="5"/>
  <c r="AO46" i="5"/>
  <c r="AN38" i="5"/>
  <c r="AO38" i="5"/>
  <c r="AN22" i="5"/>
  <c r="AO22" i="5"/>
  <c r="AN32" i="5"/>
  <c r="AO32" i="5"/>
  <c r="AN37" i="5"/>
  <c r="AO37" i="5"/>
  <c r="AN29" i="5"/>
  <c r="AO29" i="5"/>
  <c r="AN21" i="5"/>
  <c r="AO21" i="5"/>
  <c r="AN8" i="5"/>
  <c r="AO8" i="5"/>
  <c r="AJ10" i="5"/>
  <c r="AG10" i="5"/>
  <c r="AM10" i="5"/>
  <c r="AP294" i="5"/>
  <c r="B214" i="2"/>
  <c r="B219" i="2"/>
  <c r="B220" i="2" s="1"/>
  <c r="B54" i="2"/>
  <c r="B74" i="2"/>
  <c r="B75" i="2" s="1"/>
  <c r="B142" i="2"/>
  <c r="H41" i="1" s="1"/>
  <c r="B71" i="2"/>
  <c r="B122" i="2"/>
  <c r="K21" i="2"/>
  <c r="Z10" i="5"/>
  <c r="AB10" i="5" s="1"/>
  <c r="P244" i="5"/>
  <c r="W59" i="5"/>
  <c r="X59" i="5" s="1"/>
  <c r="R12" i="5"/>
  <c r="U11" i="4"/>
  <c r="U155" i="4"/>
  <c r="U107" i="4"/>
  <c r="U61" i="4"/>
  <c r="U105" i="4"/>
  <c r="U59" i="4"/>
  <c r="AH59" i="4" s="1"/>
  <c r="U130" i="4"/>
  <c r="U46" i="4"/>
  <c r="U26" i="4"/>
  <c r="U157" i="4"/>
  <c r="U116" i="4"/>
  <c r="U12" i="4"/>
  <c r="U147" i="4"/>
  <c r="U85" i="4"/>
  <c r="U152" i="4"/>
  <c r="U114" i="4"/>
  <c r="U9" i="4"/>
  <c r="U136" i="4"/>
  <c r="AH136" i="4" s="1"/>
  <c r="U93" i="4"/>
  <c r="U131" i="4"/>
  <c r="U103" i="4"/>
  <c r="U79" i="4"/>
  <c r="U8" i="4"/>
  <c r="U140" i="4"/>
  <c r="U125" i="4"/>
  <c r="U121" i="4"/>
  <c r="U100" i="4"/>
  <c r="U84" i="4"/>
  <c r="U71" i="4"/>
  <c r="U137" i="4"/>
  <c r="AH137" i="4" s="1"/>
  <c r="U109" i="4"/>
  <c r="U90" i="4"/>
  <c r="U74" i="4"/>
  <c r="U120" i="4"/>
  <c r="U62" i="4"/>
  <c r="U57" i="4"/>
  <c r="U53" i="4"/>
  <c r="U49" i="4"/>
  <c r="U45" i="4"/>
  <c r="U41" i="4"/>
  <c r="U37" i="4"/>
  <c r="U33" i="4"/>
  <c r="U29" i="4"/>
  <c r="U25" i="4"/>
  <c r="U21" i="4"/>
  <c r="U17" i="4"/>
  <c r="U15" i="4"/>
  <c r="U143" i="4"/>
  <c r="U73" i="4"/>
  <c r="U101" i="4"/>
  <c r="U118" i="4"/>
  <c r="U142" i="4"/>
  <c r="U132" i="4"/>
  <c r="U83" i="4"/>
  <c r="U126" i="4"/>
  <c r="U122" i="4"/>
  <c r="U72" i="4"/>
  <c r="U110" i="4"/>
  <c r="AH110" i="4" s="1"/>
  <c r="U78" i="4"/>
  <c r="U58" i="4"/>
  <c r="U54" i="4"/>
  <c r="U42" i="4"/>
  <c r="U38" i="4"/>
  <c r="U34" i="4"/>
  <c r="U30" i="4"/>
  <c r="U18" i="4"/>
  <c r="U63" i="4"/>
  <c r="U150" i="4"/>
  <c r="U108" i="4"/>
  <c r="U154" i="4"/>
  <c r="U117" i="4"/>
  <c r="U14" i="4"/>
  <c r="U141" i="4"/>
  <c r="U97" i="4"/>
  <c r="U156" i="4"/>
  <c r="U127" i="4"/>
  <c r="U77" i="4"/>
  <c r="U129" i="4"/>
  <c r="U95" i="4"/>
  <c r="U75" i="4"/>
  <c r="U153" i="4"/>
  <c r="U139" i="4"/>
  <c r="U124" i="4"/>
  <c r="U112" i="4"/>
  <c r="U96" i="4"/>
  <c r="U80" i="4"/>
  <c r="U66" i="4"/>
  <c r="U128" i="4"/>
  <c r="U102" i="4"/>
  <c r="U86" i="4"/>
  <c r="AH86" i="4" s="1"/>
  <c r="U68" i="4"/>
  <c r="U99" i="4"/>
  <c r="U67" i="4"/>
  <c r="U56" i="4"/>
  <c r="U52" i="4"/>
  <c r="U48" i="4"/>
  <c r="U44" i="4"/>
  <c r="U40" i="4"/>
  <c r="U36" i="4"/>
  <c r="U32" i="4"/>
  <c r="U28" i="4"/>
  <c r="U24" i="4"/>
  <c r="AH24" i="4" s="1"/>
  <c r="U20" i="4"/>
  <c r="U16" i="4"/>
  <c r="U148" i="4"/>
  <c r="U10" i="4"/>
  <c r="U104" i="4"/>
  <c r="U144" i="4"/>
  <c r="U88" i="4"/>
  <c r="U94" i="4"/>
  <c r="U69" i="4"/>
  <c r="U50" i="4"/>
  <c r="U22" i="4"/>
  <c r="AS7" i="4"/>
  <c r="AL7" i="4"/>
  <c r="U7" i="4"/>
  <c r="U146" i="4"/>
  <c r="U89" i="4"/>
  <c r="AH89" i="4" s="1"/>
  <c r="U151" i="4"/>
  <c r="U113" i="4"/>
  <c r="U13" i="4"/>
  <c r="U138" i="4"/>
  <c r="AH138" i="4" s="1"/>
  <c r="U81" i="4"/>
  <c r="U145" i="4"/>
  <c r="U115" i="4"/>
  <c r="U133" i="4"/>
  <c r="U111" i="4"/>
  <c r="U91" i="4"/>
  <c r="U70" i="4"/>
  <c r="U149" i="4"/>
  <c r="U135" i="4"/>
  <c r="U123" i="4"/>
  <c r="U106" i="4"/>
  <c r="U92" i="4"/>
  <c r="AH92" i="4" s="1"/>
  <c r="U76" i="4"/>
  <c r="U65" i="4"/>
  <c r="U119" i="4"/>
  <c r="U98" i="4"/>
  <c r="U82" i="4"/>
  <c r="U134" i="4"/>
  <c r="U87" i="4"/>
  <c r="U60" i="4"/>
  <c r="AH60" i="4" s="1"/>
  <c r="U55" i="4"/>
  <c r="U51" i="4"/>
  <c r="U47" i="4"/>
  <c r="U43" i="4"/>
  <c r="U39" i="4"/>
  <c r="U35" i="4"/>
  <c r="U31" i="4"/>
  <c r="U27" i="4"/>
  <c r="U23" i="4"/>
  <c r="U19" i="4"/>
  <c r="U64" i="4"/>
  <c r="P548" i="5"/>
  <c r="P335" i="5"/>
  <c r="P193" i="5"/>
  <c r="P483" i="5"/>
  <c r="P395" i="5"/>
  <c r="P143" i="5"/>
  <c r="P429" i="5"/>
  <c r="P301" i="5"/>
  <c r="P542" i="5"/>
  <c r="P424" i="5"/>
  <c r="P283" i="5"/>
  <c r="P455" i="5"/>
  <c r="P475" i="5"/>
  <c r="P487" i="5"/>
  <c r="P302" i="5"/>
  <c r="P290" i="5"/>
  <c r="P38" i="5"/>
  <c r="P545" i="5"/>
  <c r="P505" i="5"/>
  <c r="P420" i="5"/>
  <c r="P365" i="5"/>
  <c r="P68" i="5"/>
  <c r="P89" i="5"/>
  <c r="P130" i="5"/>
  <c r="P182" i="5"/>
  <c r="P192" i="5"/>
  <c r="P206" i="5"/>
  <c r="P211" i="5"/>
  <c r="P251" i="5"/>
  <c r="P300" i="5"/>
  <c r="P265" i="5"/>
  <c r="P294" i="5"/>
  <c r="P257" i="5"/>
  <c r="P322" i="5"/>
  <c r="P264" i="5"/>
  <c r="P373" i="5"/>
  <c r="P425" i="5"/>
  <c r="P325" i="5"/>
  <c r="P367" i="5"/>
  <c r="P405" i="5"/>
  <c r="P241" i="5"/>
  <c r="P345" i="5"/>
  <c r="P381" i="5"/>
  <c r="P375" i="5"/>
  <c r="P452" i="5"/>
  <c r="P490" i="5"/>
  <c r="P534" i="5"/>
  <c r="P444" i="5"/>
  <c r="P502" i="5"/>
  <c r="P432" i="5"/>
  <c r="P472" i="5"/>
  <c r="P515" i="5"/>
  <c r="P558" i="5"/>
  <c r="P504" i="5"/>
  <c r="P376" i="5"/>
  <c r="P500" i="5"/>
  <c r="P535" i="5"/>
  <c r="P463" i="5"/>
  <c r="P523" i="5"/>
  <c r="P546" i="5"/>
  <c r="P433" i="5"/>
  <c r="P519" i="5"/>
  <c r="P19" i="5"/>
  <c r="P34" i="5"/>
  <c r="P69" i="5"/>
  <c r="P78" i="5"/>
  <c r="P153" i="5"/>
  <c r="P150" i="5"/>
  <c r="P210" i="5"/>
  <c r="P226" i="5"/>
  <c r="P218" i="5"/>
  <c r="P255" i="5"/>
  <c r="P310" i="5"/>
  <c r="P267" i="5"/>
  <c r="P304" i="5"/>
  <c r="P279" i="5"/>
  <c r="P332" i="5"/>
  <c r="P292" i="5"/>
  <c r="P392" i="5"/>
  <c r="P427" i="5"/>
  <c r="P328" i="5"/>
  <c r="P374" i="5"/>
  <c r="P406" i="5"/>
  <c r="P284" i="5"/>
  <c r="P359" i="5"/>
  <c r="P387" i="5"/>
  <c r="P411" i="5"/>
  <c r="P470" i="5"/>
  <c r="P495" i="5"/>
  <c r="P380" i="5"/>
  <c r="P449" i="5"/>
  <c r="P518" i="5"/>
  <c r="P447" i="5"/>
  <c r="P498" i="5"/>
  <c r="P522" i="5"/>
  <c r="P350" i="5"/>
  <c r="P527" i="5"/>
  <c r="P453" i="5"/>
  <c r="P503" i="5"/>
  <c r="P556" i="5"/>
  <c r="P473" i="5"/>
  <c r="P539" i="5"/>
  <c r="P529" i="5"/>
  <c r="P391" i="5"/>
  <c r="P541" i="5"/>
  <c r="P559" i="5"/>
  <c r="P464" i="5"/>
  <c r="P471" i="5"/>
  <c r="P499" i="5"/>
  <c r="P356" i="5"/>
  <c r="P423" i="5"/>
  <c r="P482" i="5"/>
  <c r="P400" i="5"/>
  <c r="P313" i="5"/>
  <c r="P394" i="5"/>
  <c r="P201" i="5"/>
  <c r="P349" i="5"/>
  <c r="P282" i="5"/>
  <c r="P274" i="5"/>
  <c r="P285" i="5"/>
  <c r="P231" i="5"/>
  <c r="P173" i="5"/>
  <c r="P125" i="5"/>
  <c r="P25" i="5"/>
  <c r="P512" i="5"/>
  <c r="P557" i="5"/>
  <c r="P517" i="5"/>
  <c r="P530" i="5"/>
  <c r="P560" i="5"/>
  <c r="P547" i="5"/>
  <c r="P460" i="5"/>
  <c r="P479" i="5"/>
  <c r="P531" i="5"/>
  <c r="P446" i="5"/>
  <c r="P364" i="5"/>
  <c r="P235" i="5"/>
  <c r="P348" i="5"/>
  <c r="P414" i="5"/>
  <c r="P355" i="5"/>
  <c r="P236" i="5"/>
  <c r="P188" i="5"/>
  <c r="P245" i="5"/>
  <c r="P163" i="5"/>
  <c r="P183" i="5"/>
  <c r="P85" i="5"/>
  <c r="P551" i="5"/>
  <c r="P462" i="5"/>
  <c r="P554" i="5"/>
  <c r="P485" i="5"/>
  <c r="P528" i="5"/>
  <c r="P538" i="5"/>
  <c r="P532" i="5"/>
  <c r="P458" i="5"/>
  <c r="P476" i="5"/>
  <c r="P506" i="5"/>
  <c r="P442" i="5"/>
  <c r="P362" i="5"/>
  <c r="P415" i="5"/>
  <c r="P344" i="5"/>
  <c r="P402" i="5"/>
  <c r="P351" i="5"/>
  <c r="P317" i="5"/>
  <c r="P326" i="5"/>
  <c r="P220" i="5"/>
  <c r="P248" i="5"/>
  <c r="P154" i="5"/>
  <c r="P52" i="5"/>
  <c r="P55" i="5"/>
  <c r="P79" i="5"/>
  <c r="P95" i="5"/>
  <c r="P116" i="5"/>
  <c r="P121" i="5"/>
  <c r="P191" i="5"/>
  <c r="P228" i="5"/>
  <c r="P214" i="5"/>
  <c r="P197" i="5"/>
  <c r="P229" i="5"/>
  <c r="P281" i="5"/>
  <c r="P305" i="5"/>
  <c r="P198" i="5"/>
  <c r="P280" i="5"/>
  <c r="P315" i="5"/>
  <c r="P263" i="5"/>
  <c r="P314" i="5"/>
  <c r="P353" i="5"/>
  <c r="P340" i="5"/>
  <c r="P388" i="5"/>
  <c r="P417" i="5"/>
  <c r="P256" i="5"/>
  <c r="P339" i="5"/>
  <c r="P370" i="5"/>
  <c r="P397" i="5"/>
  <c r="P421" i="5"/>
  <c r="P299" i="5"/>
  <c r="P352" i="5"/>
  <c r="P378" i="5"/>
  <c r="P403" i="5"/>
  <c r="P434" i="5"/>
  <c r="P469" i="5"/>
  <c r="P489" i="5"/>
  <c r="P510" i="5"/>
  <c r="P389" i="5"/>
  <c r="P445" i="5"/>
  <c r="P494" i="5"/>
  <c r="P409" i="5"/>
  <c r="P448" i="5"/>
  <c r="P478" i="5"/>
  <c r="P513" i="5"/>
  <c r="P544" i="5"/>
  <c r="P441" i="5"/>
  <c r="P524" i="5"/>
  <c r="P555" i="5"/>
  <c r="P474" i="5"/>
  <c r="P37" i="5"/>
  <c r="P58" i="5"/>
  <c r="P49" i="5"/>
  <c r="P86" i="5"/>
  <c r="P91" i="5"/>
  <c r="P70" i="5"/>
  <c r="P104" i="5"/>
  <c r="P119" i="5"/>
  <c r="P158" i="5"/>
  <c r="P148" i="5"/>
  <c r="P160" i="5"/>
  <c r="P203" i="5"/>
  <c r="P247" i="5"/>
  <c r="P209" i="5"/>
  <c r="P237" i="5"/>
  <c r="P215" i="5"/>
  <c r="P239" i="5"/>
  <c r="P259" i="5"/>
  <c r="P298" i="5"/>
  <c r="P321" i="5"/>
  <c r="P200" i="5"/>
  <c r="P277" i="5"/>
  <c r="P297" i="5"/>
  <c r="P324" i="5"/>
  <c r="P273" i="5"/>
  <c r="P306" i="5"/>
  <c r="P334" i="5"/>
  <c r="P238" i="5"/>
  <c r="P343" i="5"/>
  <c r="P379" i="5"/>
  <c r="P408" i="5"/>
  <c r="P426" i="5"/>
  <c r="P288" i="5"/>
  <c r="P338" i="5"/>
  <c r="P358" i="5"/>
  <c r="P377" i="5"/>
  <c r="P401" i="5"/>
  <c r="P416" i="5"/>
  <c r="P258" i="5"/>
  <c r="P333" i="5"/>
  <c r="P357" i="5"/>
  <c r="P366" i="5"/>
  <c r="P393" i="5"/>
  <c r="P250" i="5"/>
  <c r="P436" i="5"/>
  <c r="P467" i="5"/>
  <c r="P486" i="5"/>
  <c r="P492" i="5"/>
  <c r="P520" i="5"/>
  <c r="P386" i="5"/>
  <c r="P437" i="5"/>
  <c r="P465" i="5"/>
  <c r="P497" i="5"/>
  <c r="P371" i="5"/>
  <c r="P443" i="5"/>
  <c r="P459" i="5"/>
  <c r="P481" i="5"/>
  <c r="P508" i="5"/>
  <c r="P525" i="5"/>
  <c r="P549" i="5"/>
  <c r="P461" i="5"/>
  <c r="P511" i="5"/>
  <c r="P543" i="5"/>
  <c r="P428" i="5"/>
  <c r="P480" i="5"/>
  <c r="P521" i="5"/>
  <c r="P537" i="5"/>
  <c r="P456" i="5"/>
  <c r="P496" i="5"/>
  <c r="P540" i="5"/>
  <c r="P550" i="5"/>
  <c r="P431" i="5"/>
  <c r="P468" i="5"/>
  <c r="P536" i="5"/>
  <c r="P23" i="5"/>
  <c r="P46" i="5"/>
  <c r="P71" i="5"/>
  <c r="P39" i="5"/>
  <c r="P87" i="5"/>
  <c r="P98" i="5"/>
  <c r="P120" i="5"/>
  <c r="P110" i="5"/>
  <c r="P135" i="5"/>
  <c r="P180" i="5"/>
  <c r="P168" i="5"/>
  <c r="P29" i="5"/>
  <c r="P44" i="5"/>
  <c r="P26" i="5"/>
  <c r="P53" i="5"/>
  <c r="P72" i="5"/>
  <c r="P31" i="5"/>
  <c r="P99" i="5"/>
  <c r="P103" i="5"/>
  <c r="P149" i="5"/>
  <c r="P132" i="5"/>
  <c r="P137" i="5"/>
  <c r="P166" i="5"/>
  <c r="P124" i="5"/>
  <c r="P113" i="5"/>
  <c r="P181" i="5"/>
  <c r="P205" i="5"/>
  <c r="P230" i="5"/>
  <c r="P202" i="5"/>
  <c r="P224" i="5"/>
  <c r="P242" i="5"/>
  <c r="P212" i="5"/>
  <c r="P227" i="5"/>
  <c r="P232" i="5"/>
  <c r="P261" i="5"/>
  <c r="P296" i="5"/>
  <c r="P307" i="5"/>
  <c r="P330" i="5"/>
  <c r="P262" i="5"/>
  <c r="P275" i="5"/>
  <c r="P286" i="5"/>
  <c r="P312" i="5"/>
  <c r="P329" i="5"/>
  <c r="P268" i="5"/>
  <c r="P295" i="5"/>
  <c r="P318" i="5"/>
  <c r="P337" i="5"/>
  <c r="P199" i="5"/>
  <c r="P323" i="5"/>
  <c r="P354" i="5"/>
  <c r="P383" i="5"/>
  <c r="P404" i="5"/>
  <c r="P419" i="5"/>
  <c r="P435" i="5"/>
  <c r="P291" i="5"/>
  <c r="P331" i="5"/>
  <c r="P347" i="5"/>
  <c r="P368" i="5"/>
  <c r="P384" i="5"/>
  <c r="P398" i="5"/>
  <c r="P412" i="5"/>
  <c r="P216" i="5"/>
  <c r="P269" i="5"/>
  <c r="P316" i="5"/>
  <c r="P346" i="5"/>
  <c r="P360" i="5"/>
  <c r="P369" i="5"/>
  <c r="P390" i="5"/>
  <c r="P410" i="5"/>
  <c r="P396" i="5"/>
  <c r="P438" i="5"/>
  <c r="P457" i="5"/>
  <c r="P477" i="5"/>
  <c r="P488" i="5"/>
  <c r="P493" i="5"/>
  <c r="P514" i="5"/>
  <c r="P372" i="5"/>
  <c r="P407" i="5"/>
  <c r="P439" i="5"/>
  <c r="P450" i="5"/>
  <c r="P484" i="5"/>
  <c r="P509" i="5"/>
  <c r="P385" i="5"/>
  <c r="P440" i="5"/>
  <c r="P451" i="5"/>
  <c r="P466" i="5"/>
  <c r="P491" i="5"/>
  <c r="P507" i="5"/>
  <c r="P516" i="5"/>
  <c r="P533" i="5"/>
  <c r="P552" i="5"/>
  <c r="P454" i="5"/>
  <c r="P501" i="5"/>
  <c r="P526" i="5"/>
  <c r="P553" i="5"/>
  <c r="P418" i="5"/>
  <c r="W525" i="5"/>
  <c r="Y525" i="5" s="1"/>
  <c r="W376" i="5"/>
  <c r="X376" i="5" s="1"/>
  <c r="W515" i="5"/>
  <c r="Y515" i="5" s="1"/>
  <c r="W190" i="5"/>
  <c r="X190" i="5" s="1"/>
  <c r="W554" i="5"/>
  <c r="X554" i="5" s="1"/>
  <c r="W415" i="5"/>
  <c r="X415" i="5" s="1"/>
  <c r="W544" i="5"/>
  <c r="X544" i="5" s="1"/>
  <c r="W536" i="5"/>
  <c r="Y536" i="5" s="1"/>
  <c r="W339" i="5"/>
  <c r="X339" i="5" s="1"/>
  <c r="W154" i="5"/>
  <c r="X154" i="5" s="1"/>
  <c r="W448" i="5"/>
  <c r="Y448" i="5" s="1"/>
  <c r="W214" i="5"/>
  <c r="Y214" i="5" s="1"/>
  <c r="W524" i="5"/>
  <c r="X524" i="5" s="1"/>
  <c r="W373" i="5"/>
  <c r="X373" i="5" s="1"/>
  <c r="W206" i="5"/>
  <c r="X206" i="5" s="1"/>
  <c r="W107" i="5"/>
  <c r="X107" i="5" s="1"/>
  <c r="S8" i="5"/>
  <c r="W379" i="5"/>
  <c r="X379" i="5" s="1"/>
  <c r="W464" i="5"/>
  <c r="X464" i="5" s="1"/>
  <c r="W484" i="5"/>
  <c r="Y484" i="5" s="1"/>
  <c r="W337" i="5"/>
  <c r="X337" i="5" s="1"/>
  <c r="W216" i="5"/>
  <c r="X216" i="5" s="1"/>
  <c r="W45" i="5"/>
  <c r="X45" i="5" s="1"/>
  <c r="W40" i="5"/>
  <c r="Y40" i="5" s="1"/>
  <c r="W94" i="5"/>
  <c r="Y94" i="5" s="1"/>
  <c r="W102" i="5"/>
  <c r="Y102" i="5" s="1"/>
  <c r="W132" i="5"/>
  <c r="Y132" i="5" s="1"/>
  <c r="W150" i="5"/>
  <c r="X150" i="5" s="1"/>
  <c r="W103" i="5"/>
  <c r="Y103" i="5" s="1"/>
  <c r="W194" i="5"/>
  <c r="Y194" i="5" s="1"/>
  <c r="W200" i="5"/>
  <c r="X200" i="5" s="1"/>
  <c r="W211" i="5"/>
  <c r="X211" i="5" s="1"/>
  <c r="W267" i="5"/>
  <c r="X267" i="5" s="1"/>
  <c r="W329" i="5"/>
  <c r="Y329" i="5" s="1"/>
  <c r="W273" i="5"/>
  <c r="Y273" i="5" s="1"/>
  <c r="W332" i="5"/>
  <c r="X332" i="5" s="1"/>
  <c r="W323" i="5"/>
  <c r="X323" i="5" s="1"/>
  <c r="W335" i="5"/>
  <c r="Y335" i="5" s="1"/>
  <c r="W395" i="5"/>
  <c r="X395" i="5" s="1"/>
  <c r="W320" i="5"/>
  <c r="Y320" i="5" s="1"/>
  <c r="W381" i="5"/>
  <c r="X381" i="5" s="1"/>
  <c r="W410" i="5"/>
  <c r="X410" i="5" s="1"/>
  <c r="W285" i="5"/>
  <c r="Y285" i="5" s="1"/>
  <c r="W375" i="5"/>
  <c r="Y375" i="5" s="1"/>
  <c r="W405" i="5"/>
  <c r="X405" i="5" s="1"/>
  <c r="W361" i="5"/>
  <c r="X361" i="5" s="1"/>
  <c r="W455" i="5"/>
  <c r="Y455" i="5" s="1"/>
  <c r="W479" i="5"/>
  <c r="Y479" i="5" s="1"/>
  <c r="W506" i="5"/>
  <c r="X506" i="5" s="1"/>
  <c r="W535" i="5"/>
  <c r="Y535" i="5" s="1"/>
  <c r="W411" i="5"/>
  <c r="X411" i="5" s="1"/>
  <c r="W447" i="5"/>
  <c r="Y447" i="5" s="1"/>
  <c r="W489" i="5"/>
  <c r="X489" i="5" s="1"/>
  <c r="W514" i="5"/>
  <c r="X514" i="5" s="1"/>
  <c r="W404" i="5"/>
  <c r="Y404" i="5" s="1"/>
  <c r="W460" i="5"/>
  <c r="X460" i="5" s="1"/>
  <c r="W496" i="5"/>
  <c r="Y496" i="5" s="1"/>
  <c r="W523" i="5"/>
  <c r="X523" i="5" s="1"/>
  <c r="W558" i="5"/>
  <c r="X558" i="5" s="1"/>
  <c r="W531" i="5"/>
  <c r="X531" i="5" s="1"/>
  <c r="W457" i="5"/>
  <c r="Y457" i="5" s="1"/>
  <c r="W546" i="5"/>
  <c r="Y546" i="5" s="1"/>
  <c r="W500" i="5"/>
  <c r="X500" i="5" s="1"/>
  <c r="W553" i="5"/>
  <c r="Y553" i="5" s="1"/>
  <c r="W442" i="5"/>
  <c r="Y442" i="5" s="1"/>
  <c r="W492" i="5"/>
  <c r="X492" i="5" s="1"/>
  <c r="W549" i="5"/>
  <c r="Y549" i="5" s="1"/>
  <c r="W19" i="5"/>
  <c r="Y19" i="5" s="1"/>
  <c r="W10" i="5"/>
  <c r="W44" i="5"/>
  <c r="Y44" i="5" s="1"/>
  <c r="W43" i="5"/>
  <c r="Y43" i="5" s="1"/>
  <c r="W76" i="5"/>
  <c r="X76" i="5" s="1"/>
  <c r="W66" i="5"/>
  <c r="X66" i="5" s="1"/>
  <c r="W158" i="5"/>
  <c r="X158" i="5" s="1"/>
  <c r="W128" i="5"/>
  <c r="Y128" i="5" s="1"/>
  <c r="W176" i="5"/>
  <c r="X176" i="5" s="1"/>
  <c r="W184" i="5"/>
  <c r="Y184" i="5" s="1"/>
  <c r="W248" i="5"/>
  <c r="Y248" i="5" s="1"/>
  <c r="W227" i="5"/>
  <c r="Y227" i="5" s="1"/>
  <c r="W207" i="5"/>
  <c r="Y207" i="5" s="1"/>
  <c r="W309" i="5"/>
  <c r="Y309" i="5" s="1"/>
  <c r="W255" i="5"/>
  <c r="X255" i="5" s="1"/>
  <c r="W308" i="5"/>
  <c r="X308" i="5" s="1"/>
  <c r="W292" i="5"/>
  <c r="Y292" i="5" s="1"/>
  <c r="W355" i="5"/>
  <c r="Y355" i="5" s="1"/>
  <c r="W370" i="5"/>
  <c r="Y370" i="5" s="1"/>
  <c r="W434" i="5"/>
  <c r="Y434" i="5" s="1"/>
  <c r="W366" i="5"/>
  <c r="X366" i="5" s="1"/>
  <c r="W400" i="5"/>
  <c r="Y400" i="5" s="1"/>
  <c r="W253" i="5"/>
  <c r="X253" i="5" s="1"/>
  <c r="W369" i="5"/>
  <c r="X369" i="5" s="1"/>
  <c r="W391" i="5"/>
  <c r="X391" i="5" s="1"/>
  <c r="W269" i="5"/>
  <c r="X269" i="5" s="1"/>
  <c r="W444" i="5"/>
  <c r="X444" i="5" s="1"/>
  <c r="W470" i="5"/>
  <c r="Y470" i="5" s="1"/>
  <c r="W495" i="5"/>
  <c r="Y495" i="5" s="1"/>
  <c r="W526" i="5"/>
  <c r="X526" i="5" s="1"/>
  <c r="W353" i="5"/>
  <c r="X353" i="5" s="1"/>
  <c r="W430" i="5"/>
  <c r="X430" i="5" s="1"/>
  <c r="W469" i="5"/>
  <c r="X469" i="5" s="1"/>
  <c r="W507" i="5"/>
  <c r="Y507" i="5" s="1"/>
  <c r="W365" i="5"/>
  <c r="X365" i="5" s="1"/>
  <c r="W453" i="5"/>
  <c r="Y453" i="5" s="1"/>
  <c r="W480" i="5"/>
  <c r="X480" i="5" s="1"/>
  <c r="W516" i="5"/>
  <c r="Y516" i="5" s="1"/>
  <c r="W545" i="5"/>
  <c r="X545" i="5" s="1"/>
  <c r="W462" i="5"/>
  <c r="Y462" i="5" s="1"/>
  <c r="W422" i="5"/>
  <c r="Y422" i="5" s="1"/>
  <c r="W539" i="5"/>
  <c r="X539" i="5" s="1"/>
  <c r="W474" i="5"/>
  <c r="Y474" i="5" s="1"/>
  <c r="W552" i="5"/>
  <c r="Y552" i="5" s="1"/>
  <c r="W425" i="5"/>
  <c r="X425" i="5" s="1"/>
  <c r="W482" i="5"/>
  <c r="Y482" i="5" s="1"/>
  <c r="W533" i="5"/>
  <c r="Y533" i="5" s="1"/>
  <c r="W560" i="5"/>
  <c r="Y560" i="5" s="1"/>
  <c r="W559" i="5"/>
  <c r="Y559" i="5" s="1"/>
  <c r="W459" i="5"/>
  <c r="X459" i="5" s="1"/>
  <c r="W551" i="5"/>
  <c r="Y551" i="5" s="1"/>
  <c r="W534" i="5"/>
  <c r="Y534" i="5" s="1"/>
  <c r="W439" i="5"/>
  <c r="X439" i="5" s="1"/>
  <c r="W512" i="5"/>
  <c r="Y512" i="5" s="1"/>
  <c r="W438" i="5"/>
  <c r="Y438" i="5" s="1"/>
  <c r="W502" i="5"/>
  <c r="X502" i="5" s="1"/>
  <c r="W429" i="5"/>
  <c r="X429" i="5" s="1"/>
  <c r="W520" i="5"/>
  <c r="X520" i="5" s="1"/>
  <c r="W467" i="5"/>
  <c r="X467" i="5" s="1"/>
  <c r="W236" i="5"/>
  <c r="X236" i="5" s="1"/>
  <c r="W354" i="5"/>
  <c r="X354" i="5" s="1"/>
  <c r="W398" i="5"/>
  <c r="Y398" i="5" s="1"/>
  <c r="W427" i="5"/>
  <c r="Y427" i="5" s="1"/>
  <c r="W345" i="5"/>
  <c r="X345" i="5" s="1"/>
  <c r="W301" i="5"/>
  <c r="Y301" i="5" s="1"/>
  <c r="W297" i="5"/>
  <c r="X297" i="5" s="1"/>
  <c r="W223" i="5"/>
  <c r="Y223" i="5" s="1"/>
  <c r="W181" i="5"/>
  <c r="X181" i="5" s="1"/>
  <c r="W123" i="5"/>
  <c r="Y123" i="5" s="1"/>
  <c r="W99" i="5"/>
  <c r="X99" i="5" s="1"/>
  <c r="W27" i="5"/>
  <c r="Y27" i="5" s="1"/>
  <c r="W556" i="5"/>
  <c r="X556" i="5" s="1"/>
  <c r="W452" i="5"/>
  <c r="X452" i="5" s="1"/>
  <c r="W521" i="5"/>
  <c r="X521" i="5" s="1"/>
  <c r="W486" i="5"/>
  <c r="X486" i="5" s="1"/>
  <c r="W310" i="5"/>
  <c r="Y310" i="5" s="1"/>
  <c r="W498" i="5"/>
  <c r="Y498" i="5" s="1"/>
  <c r="W431" i="5"/>
  <c r="Y431" i="5" s="1"/>
  <c r="W491" i="5"/>
  <c r="Y491" i="5" s="1"/>
  <c r="W414" i="5"/>
  <c r="Y414" i="5" s="1"/>
  <c r="W509" i="5"/>
  <c r="Y509" i="5" s="1"/>
  <c r="W461" i="5"/>
  <c r="X461" i="5" s="1"/>
  <c r="W407" i="5"/>
  <c r="X407" i="5" s="1"/>
  <c r="W305" i="5"/>
  <c r="Y305" i="5" s="1"/>
  <c r="W387" i="5"/>
  <c r="Y387" i="5" s="1"/>
  <c r="W401" i="5"/>
  <c r="W328" i="5"/>
  <c r="Y328" i="5" s="1"/>
  <c r="W277" i="5"/>
  <c r="X277" i="5" s="1"/>
  <c r="W275" i="5"/>
  <c r="Y275" i="5" s="1"/>
  <c r="W203" i="5"/>
  <c r="Y203" i="5" s="1"/>
  <c r="W139" i="5"/>
  <c r="W97" i="5"/>
  <c r="X97" i="5" s="1"/>
  <c r="W85" i="5"/>
  <c r="Y85" i="5" s="1"/>
  <c r="W34" i="5"/>
  <c r="Y34" i="5" s="1"/>
  <c r="W530" i="5"/>
  <c r="X530" i="5" s="1"/>
  <c r="W385" i="5"/>
  <c r="X385" i="5" s="1"/>
  <c r="W446" i="5"/>
  <c r="X446" i="5" s="1"/>
  <c r="W388" i="5"/>
  <c r="X388" i="5" s="1"/>
  <c r="W540" i="5"/>
  <c r="Y540" i="5" s="1"/>
  <c r="W475" i="5"/>
  <c r="Y475" i="5" s="1"/>
  <c r="W296" i="5"/>
  <c r="Y296" i="5" s="1"/>
  <c r="W466" i="5"/>
  <c r="X466" i="5" s="1"/>
  <c r="W343" i="5"/>
  <c r="X343" i="5" s="1"/>
  <c r="W490" i="5"/>
  <c r="X490" i="5" s="1"/>
  <c r="W440" i="5"/>
  <c r="X440" i="5" s="1"/>
  <c r="W390" i="5"/>
  <c r="Y390" i="5" s="1"/>
  <c r="W186" i="5"/>
  <c r="X186" i="5" s="1"/>
  <c r="W364" i="5"/>
  <c r="Y364" i="5" s="1"/>
  <c r="W360" i="5"/>
  <c r="Y360" i="5" s="1"/>
  <c r="W288" i="5"/>
  <c r="X288" i="5" s="1"/>
  <c r="W252" i="5"/>
  <c r="X252" i="5" s="1"/>
  <c r="W243" i="5"/>
  <c r="Y243" i="5" s="1"/>
  <c r="W246" i="5"/>
  <c r="X246" i="5" s="1"/>
  <c r="W164" i="5"/>
  <c r="Y164" i="5" s="1"/>
  <c r="W152" i="5"/>
  <c r="Y152" i="5" s="1"/>
  <c r="W58" i="5"/>
  <c r="Y58" i="5" s="1"/>
  <c r="W29" i="5"/>
  <c r="X29" i="5" s="1"/>
  <c r="P20" i="5"/>
  <c r="P43" i="5"/>
  <c r="P35" i="5"/>
  <c r="P27" i="5"/>
  <c r="P54" i="5"/>
  <c r="P66" i="5"/>
  <c r="P57" i="5"/>
  <c r="P47" i="5"/>
  <c r="P21" i="5"/>
  <c r="P75" i="5"/>
  <c r="P82" i="5"/>
  <c r="P56" i="5"/>
  <c r="P83" i="5"/>
  <c r="P97" i="5"/>
  <c r="P108" i="5"/>
  <c r="P102" i="5"/>
  <c r="P114" i="5"/>
  <c r="P140" i="5"/>
  <c r="P159" i="5"/>
  <c r="P122" i="5"/>
  <c r="P152" i="5"/>
  <c r="P131" i="5"/>
  <c r="P151" i="5"/>
  <c r="P155" i="5"/>
  <c r="P175" i="5"/>
  <c r="P94" i="5"/>
  <c r="P139" i="5"/>
  <c r="P176" i="5"/>
  <c r="P147" i="5"/>
  <c r="P171" i="5"/>
  <c r="P187" i="5"/>
  <c r="P196" i="5"/>
  <c r="P189" i="5"/>
  <c r="P221" i="5"/>
  <c r="P246" i="5"/>
  <c r="P156" i="5"/>
  <c r="P36" i="5"/>
  <c r="P33" i="5"/>
  <c r="P24" i="5"/>
  <c r="P48" i="5"/>
  <c r="P63" i="5"/>
  <c r="P45" i="5"/>
  <c r="P32" i="5"/>
  <c r="P65" i="5"/>
  <c r="P67" i="5"/>
  <c r="P76" i="5"/>
  <c r="P93" i="5"/>
  <c r="P51" i="5"/>
  <c r="P92" i="5"/>
  <c r="P107" i="5"/>
  <c r="P100" i="5"/>
  <c r="P106" i="5"/>
  <c r="P138" i="5"/>
  <c r="P157" i="5"/>
  <c r="P111" i="5"/>
  <c r="P145" i="5"/>
  <c r="P123" i="5"/>
  <c r="P142" i="5"/>
  <c r="P118" i="5"/>
  <c r="P172" i="5"/>
  <c r="P185" i="5"/>
  <c r="P136" i="5"/>
  <c r="P170" i="5"/>
  <c r="P126" i="5"/>
  <c r="P167" i="5"/>
  <c r="P186" i="5"/>
  <c r="P194" i="5"/>
  <c r="P184" i="5"/>
  <c r="P219" i="5"/>
  <c r="P233" i="5"/>
  <c r="P252" i="5"/>
  <c r="P204" i="5"/>
  <c r="P217" i="5"/>
  <c r="AU10" i="5"/>
  <c r="AV10" i="5"/>
  <c r="BD13" i="5"/>
  <c r="BE13" i="5"/>
  <c r="W8" i="5"/>
  <c r="W12" i="5"/>
  <c r="W13" i="5"/>
  <c r="W35" i="5"/>
  <c r="Y35" i="5" s="1"/>
  <c r="W21" i="5"/>
  <c r="Y21" i="5" s="1"/>
  <c r="W49" i="5"/>
  <c r="Y49" i="5" s="1"/>
  <c r="W64" i="5"/>
  <c r="Y64" i="5" s="1"/>
  <c r="W65" i="5"/>
  <c r="X65" i="5" s="1"/>
  <c r="W74" i="5"/>
  <c r="Y74" i="5" s="1"/>
  <c r="W73" i="5"/>
  <c r="Y73" i="5" s="1"/>
  <c r="W87" i="5"/>
  <c r="X87" i="5" s="1"/>
  <c r="W119" i="5"/>
  <c r="X119" i="5" s="1"/>
  <c r="W115" i="5"/>
  <c r="Y115" i="5" s="1"/>
  <c r="W110" i="5"/>
  <c r="W134" i="5"/>
  <c r="X134" i="5" s="1"/>
  <c r="W137" i="5"/>
  <c r="Y137" i="5" s="1"/>
  <c r="W171" i="5"/>
  <c r="X171" i="5" s="1"/>
  <c r="W148" i="5"/>
  <c r="X148" i="5" s="1"/>
  <c r="W202" i="5"/>
  <c r="Y202" i="5" s="1"/>
  <c r="W226" i="5"/>
  <c r="Y226" i="5" s="1"/>
  <c r="W172" i="5"/>
  <c r="X172" i="5" s="1"/>
  <c r="W209" i="5"/>
  <c r="X209" i="5" s="1"/>
  <c r="W239" i="5"/>
  <c r="X239" i="5" s="1"/>
  <c r="W229" i="5"/>
  <c r="X229" i="5" s="1"/>
  <c r="W225" i="5"/>
  <c r="Y225" i="5" s="1"/>
  <c r="W283" i="5"/>
  <c r="Y283" i="5" s="1"/>
  <c r="W315" i="5"/>
  <c r="Y315" i="5" s="1"/>
  <c r="W213" i="5"/>
  <c r="X213" i="5" s="1"/>
  <c r="W260" i="5"/>
  <c r="Y260" i="5" s="1"/>
  <c r="W279" i="5"/>
  <c r="X279" i="5" s="1"/>
  <c r="W318" i="5"/>
  <c r="X318" i="5" s="1"/>
  <c r="W251" i="5"/>
  <c r="X251" i="5" s="1"/>
  <c r="W302" i="5"/>
  <c r="Y302" i="5" s="1"/>
  <c r="W333" i="5"/>
  <c r="Y333" i="5" s="1"/>
  <c r="W268" i="5"/>
  <c r="X268" i="5" s="1"/>
  <c r="W351" i="5"/>
  <c r="Y351" i="5" s="1"/>
  <c r="W377" i="5"/>
  <c r="Y377" i="5" s="1"/>
  <c r="W412" i="5"/>
  <c r="X412" i="5" s="1"/>
  <c r="W259" i="5"/>
  <c r="Y259" i="5" s="1"/>
  <c r="W346" i="5"/>
  <c r="X346" i="5" s="1"/>
  <c r="W367" i="5"/>
  <c r="Y367" i="5" s="1"/>
  <c r="W394" i="5"/>
  <c r="X394" i="5" s="1"/>
  <c r="W403" i="5"/>
  <c r="W420" i="5"/>
  <c r="Y420" i="5" s="1"/>
  <c r="W256" i="5"/>
  <c r="Y256" i="5" s="1"/>
  <c r="W341" i="5"/>
  <c r="Y341" i="5" s="1"/>
  <c r="W371" i="5"/>
  <c r="X371" i="5" s="1"/>
  <c r="W380" i="5"/>
  <c r="X380" i="5" s="1"/>
  <c r="W393" i="5"/>
  <c r="Y393" i="5" s="1"/>
  <c r="W409" i="5"/>
  <c r="W281" i="5"/>
  <c r="X281" i="5" s="1"/>
  <c r="W423" i="5"/>
  <c r="X423" i="5" s="1"/>
  <c r="W445" i="5"/>
  <c r="Y445" i="5" s="1"/>
  <c r="W463" i="5"/>
  <c r="W473" i="5"/>
  <c r="X473" i="5" s="1"/>
  <c r="W487" i="5"/>
  <c r="X487" i="5" s="1"/>
  <c r="W497" i="5"/>
  <c r="Y497" i="5" s="1"/>
  <c r="W510" i="5"/>
  <c r="W528" i="5"/>
  <c r="Y528" i="5" s="1"/>
  <c r="W217" i="5"/>
  <c r="X217" i="5" s="1"/>
  <c r="W363" i="5"/>
  <c r="Y363" i="5" s="1"/>
  <c r="W417" i="5"/>
  <c r="X417" i="5" s="1"/>
  <c r="W441" i="5"/>
  <c r="Y441" i="5" s="1"/>
  <c r="W450" i="5"/>
  <c r="X450" i="5" s="1"/>
  <c r="W478" i="5"/>
  <c r="Y478" i="5" s="1"/>
  <c r="W494" i="5"/>
  <c r="X494" i="5" s="1"/>
  <c r="W508" i="5"/>
  <c r="Y508" i="5" s="1"/>
  <c r="W284" i="5"/>
  <c r="X284" i="5" s="1"/>
  <c r="W383" i="5"/>
  <c r="X383" i="5" s="1"/>
  <c r="W433" i="5"/>
  <c r="X433" i="5" s="1"/>
  <c r="W456" i="5"/>
  <c r="X456" i="5" s="1"/>
  <c r="W471" i="5"/>
  <c r="Y471" i="5" s="1"/>
  <c r="W483" i="5"/>
  <c r="Y483" i="5" s="1"/>
  <c r="W501" i="5"/>
  <c r="Y501" i="5" s="1"/>
  <c r="W517" i="5"/>
  <c r="W527" i="5"/>
  <c r="X527" i="5" s="1"/>
  <c r="W550" i="5"/>
  <c r="Y550" i="5" s="1"/>
  <c r="W435" i="5"/>
  <c r="Y435" i="5" s="1"/>
  <c r="W468" i="5"/>
  <c r="Y468" i="5" s="1"/>
  <c r="W557" i="5"/>
  <c r="Y557" i="5" s="1"/>
  <c r="W424" i="5"/>
  <c r="X424" i="5" s="1"/>
  <c r="W511" i="5"/>
  <c r="W541" i="5"/>
  <c r="Y541" i="5" s="1"/>
  <c r="W538" i="5"/>
  <c r="Y538" i="5" s="1"/>
  <c r="W477" i="5"/>
  <c r="X477" i="5" s="1"/>
  <c r="W522" i="5"/>
  <c r="W41" i="5"/>
  <c r="X41" i="5" s="1"/>
  <c r="W31" i="5"/>
  <c r="Y31" i="5" s="1"/>
  <c r="W69" i="5"/>
  <c r="Y69" i="5" s="1"/>
  <c r="W22" i="5"/>
  <c r="X22" i="5" s="1"/>
  <c r="W72" i="5"/>
  <c r="X72" i="5" s="1"/>
  <c r="W86" i="5"/>
  <c r="Y86" i="5" s="1"/>
  <c r="W96" i="5"/>
  <c r="Y96" i="5" s="1"/>
  <c r="W92" i="5"/>
  <c r="X92" i="5" s="1"/>
  <c r="W143" i="5"/>
  <c r="X143" i="5" s="1"/>
  <c r="W126" i="5"/>
  <c r="X126" i="5" s="1"/>
  <c r="W116" i="5"/>
  <c r="X116" i="5" s="1"/>
  <c r="W147" i="5"/>
  <c r="X147" i="5" s="1"/>
  <c r="W160" i="5"/>
  <c r="Y160" i="5" s="1"/>
  <c r="W177" i="5"/>
  <c r="Y177" i="5" s="1"/>
  <c r="W169" i="5"/>
  <c r="X169" i="5" s="1"/>
  <c r="W167" i="5"/>
  <c r="W231" i="5"/>
  <c r="Y231" i="5" s="1"/>
  <c r="W196" i="5"/>
  <c r="X196" i="5" s="1"/>
  <c r="W218" i="5"/>
  <c r="X218" i="5" s="1"/>
  <c r="W189" i="5"/>
  <c r="X189" i="5" s="1"/>
  <c r="W238" i="5"/>
  <c r="Y238" i="5" s="1"/>
  <c r="W235" i="5"/>
  <c r="X235" i="5" s="1"/>
  <c r="W287" i="5"/>
  <c r="X287" i="5" s="1"/>
  <c r="W319" i="5"/>
  <c r="W240" i="5"/>
  <c r="W265" i="5"/>
  <c r="X265" i="5" s="1"/>
  <c r="W289" i="5"/>
  <c r="Y289" i="5" s="1"/>
  <c r="W324" i="5"/>
  <c r="Y324" i="5" s="1"/>
  <c r="W266" i="5"/>
  <c r="X266" i="5" s="1"/>
  <c r="W313" i="5"/>
  <c r="Y313" i="5" s="1"/>
  <c r="W340" i="5"/>
  <c r="Y340" i="5" s="1"/>
  <c r="W298" i="5"/>
  <c r="X298" i="5" s="1"/>
  <c r="W357" i="5"/>
  <c r="X357" i="5" s="1"/>
  <c r="W384" i="5"/>
  <c r="X384" i="5" s="1"/>
  <c r="W416" i="5"/>
  <c r="X416" i="5" s="1"/>
  <c r="W300" i="5"/>
  <c r="W356" i="5"/>
  <c r="W378" i="5"/>
  <c r="Y378" i="5" s="1"/>
  <c r="W397" i="5"/>
  <c r="X397" i="5" s="1"/>
  <c r="W406" i="5"/>
  <c r="W421" i="5"/>
  <c r="X421" i="5" s="1"/>
  <c r="W261" i="5"/>
  <c r="Y261" i="5" s="1"/>
  <c r="W349" i="5"/>
  <c r="Y349" i="5" s="1"/>
  <c r="W372" i="5"/>
  <c r="Y372" i="5" s="1"/>
  <c r="W386" i="5"/>
  <c r="X386" i="5" s="1"/>
  <c r="W396" i="5"/>
  <c r="X396" i="5" s="1"/>
  <c r="W418" i="5"/>
  <c r="X418" i="5" s="1"/>
  <c r="W293" i="5"/>
  <c r="X293" i="5" s="1"/>
  <c r="W426" i="5"/>
  <c r="W449" i="5"/>
  <c r="Y449" i="5" s="1"/>
  <c r="W465" i="5"/>
  <c r="Y465" i="5" s="1"/>
  <c r="W476" i="5"/>
  <c r="W488" i="5"/>
  <c r="Y488" i="5" s="1"/>
  <c r="W503" i="5"/>
  <c r="X503" i="5" s="1"/>
  <c r="W518" i="5"/>
  <c r="X518" i="5" s="1"/>
  <c r="W529" i="5"/>
  <c r="W307" i="5"/>
  <c r="X307" i="5" s="1"/>
  <c r="W402" i="5"/>
  <c r="X402" i="5" s="1"/>
  <c r="W428" i="5"/>
  <c r="Y428" i="5" s="1"/>
  <c r="W443" i="5"/>
  <c r="X443" i="5" s="1"/>
  <c r="W451" i="5"/>
  <c r="Y451" i="5" s="1"/>
  <c r="W481" i="5"/>
  <c r="Y481" i="5" s="1"/>
  <c r="W499" i="5"/>
  <c r="Y499" i="5" s="1"/>
  <c r="W513" i="5"/>
  <c r="X513" i="5" s="1"/>
  <c r="W290" i="5"/>
  <c r="W389" i="5"/>
  <c r="X389" i="5" s="1"/>
  <c r="W436" i="5"/>
  <c r="X436" i="5" s="1"/>
  <c r="W458" i="5"/>
  <c r="W472" i="5"/>
  <c r="Y472" i="5" s="1"/>
  <c r="W485" i="5"/>
  <c r="X485" i="5" s="1"/>
  <c r="W504" i="5"/>
  <c r="Y504" i="5" s="1"/>
  <c r="W519" i="5"/>
  <c r="W537" i="5"/>
  <c r="Y537" i="5" s="1"/>
  <c r="W555" i="5"/>
  <c r="X555" i="5" s="1"/>
  <c r="W437" i="5"/>
  <c r="X437" i="5" s="1"/>
  <c r="W505" i="5"/>
  <c r="Y505" i="5" s="1"/>
  <c r="W547" i="5"/>
  <c r="Y547" i="5" s="1"/>
  <c r="W454" i="5"/>
  <c r="X454" i="5" s="1"/>
  <c r="W532" i="5"/>
  <c r="Y532" i="5" s="1"/>
  <c r="W542" i="5"/>
  <c r="Y542" i="5" s="1"/>
  <c r="W543" i="5"/>
  <c r="W493" i="5"/>
  <c r="X493" i="5" s="1"/>
  <c r="W548" i="5"/>
  <c r="Y548" i="5" s="1"/>
  <c r="BD12" i="5"/>
  <c r="BE12" i="5"/>
  <c r="Z8" i="5"/>
  <c r="Z12" i="5"/>
  <c r="Z13" i="5"/>
  <c r="S13" i="5"/>
  <c r="R13" i="5"/>
  <c r="P12" i="5"/>
  <c r="P13" i="5"/>
  <c r="P11" i="5"/>
  <c r="P8" i="5"/>
  <c r="P9" i="5"/>
  <c r="P10" i="5"/>
  <c r="Z34" i="5"/>
  <c r="AA34" i="5" s="1"/>
  <c r="Z540" i="5"/>
  <c r="AB540" i="5" s="1"/>
  <c r="W23" i="5"/>
  <c r="Y23" i="5" s="1"/>
  <c r="P22" i="5"/>
  <c r="P40" i="5"/>
  <c r="P30" i="5"/>
  <c r="P41" i="5"/>
  <c r="P28" i="5"/>
  <c r="P50" i="5"/>
  <c r="P60" i="5"/>
  <c r="P73" i="5"/>
  <c r="P61" i="5"/>
  <c r="P42" i="5"/>
  <c r="P64" i="5"/>
  <c r="P62" i="5"/>
  <c r="P77" i="5"/>
  <c r="P80" i="5"/>
  <c r="P90" i="5"/>
  <c r="P88" i="5"/>
  <c r="P84" i="5"/>
  <c r="P96" i="5"/>
  <c r="P101" i="5"/>
  <c r="P81" i="5"/>
  <c r="P105" i="5"/>
  <c r="P109" i="5"/>
  <c r="P128" i="5"/>
  <c r="P146" i="5"/>
  <c r="P161" i="5"/>
  <c r="P115" i="5"/>
  <c r="P141" i="5"/>
  <c r="P117" i="5"/>
  <c r="P133" i="5"/>
  <c r="P144" i="5"/>
  <c r="P59" i="5"/>
  <c r="P162" i="5"/>
  <c r="P179" i="5"/>
  <c r="P74" i="5"/>
  <c r="P127" i="5"/>
  <c r="P164" i="5"/>
  <c r="P178" i="5"/>
  <c r="P129" i="5"/>
  <c r="P165" i="5"/>
  <c r="P177" i="5"/>
  <c r="P190" i="5"/>
  <c r="P195" i="5"/>
  <c r="P169" i="5"/>
  <c r="P207" i="5"/>
  <c r="P225" i="5"/>
  <c r="P240" i="5"/>
  <c r="P249" i="5"/>
  <c r="P174" i="5"/>
  <c r="P208" i="5"/>
  <c r="P222" i="5"/>
  <c r="P234" i="5"/>
  <c r="P134" i="5"/>
  <c r="P213" i="5"/>
  <c r="P223" i="5"/>
  <c r="P243" i="5"/>
  <c r="P253" i="5"/>
  <c r="P271" i="5"/>
  <c r="P293" i="5"/>
  <c r="P303" i="5"/>
  <c r="P320" i="5"/>
  <c r="P112" i="5"/>
  <c r="P260" i="5"/>
  <c r="P272" i="5"/>
  <c r="P278" i="5"/>
  <c r="P287" i="5"/>
  <c r="P309" i="5"/>
  <c r="P319" i="5"/>
  <c r="P254" i="5"/>
  <c r="P270" i="5"/>
  <c r="P289" i="5"/>
  <c r="P308" i="5"/>
  <c r="P327" i="5"/>
  <c r="P342" i="5"/>
  <c r="P361" i="5"/>
  <c r="P276" i="5"/>
  <c r="P341" i="5"/>
  <c r="P363" i="5"/>
  <c r="P382" i="5"/>
  <c r="P399" i="5"/>
  <c r="P413" i="5"/>
  <c r="P422" i="5"/>
  <c r="P430" i="5"/>
  <c r="P266" i="5"/>
  <c r="P311" i="5"/>
  <c r="P336" i="5"/>
  <c r="Z482" i="5"/>
  <c r="AB482" i="5" s="1"/>
  <c r="Z244" i="5"/>
  <c r="Z497" i="5"/>
  <c r="Z426" i="5"/>
  <c r="AA426" i="5" s="1"/>
  <c r="Z232" i="5"/>
  <c r="AA232" i="5" s="1"/>
  <c r="Z559" i="5"/>
  <c r="Z308" i="5"/>
  <c r="Z94" i="5"/>
  <c r="Z488" i="5"/>
  <c r="Z276" i="5"/>
  <c r="Z110" i="5"/>
  <c r="AA110" i="5" s="1"/>
  <c r="Z551" i="5"/>
  <c r="AA551" i="5" s="1"/>
  <c r="Z491" i="5"/>
  <c r="AB491" i="5" s="1"/>
  <c r="Z428" i="5"/>
  <c r="Z424" i="5"/>
  <c r="Z373" i="5"/>
  <c r="AB373" i="5" s="1"/>
  <c r="Z249" i="5"/>
  <c r="AB249" i="5" s="1"/>
  <c r="Z79" i="5"/>
  <c r="AA79" i="5" s="1"/>
  <c r="Z534" i="5"/>
  <c r="Z512" i="5"/>
  <c r="Z470" i="5"/>
  <c r="Z359" i="5"/>
  <c r="Z229" i="5"/>
  <c r="Z160" i="5"/>
  <c r="AA160" i="5" s="1"/>
  <c r="Z22" i="5"/>
  <c r="AA22" i="5" s="1"/>
  <c r="Z496" i="5"/>
  <c r="Z480" i="5"/>
  <c r="Z552" i="5"/>
  <c r="Z543" i="5"/>
  <c r="Z372" i="5"/>
  <c r="Z381" i="5"/>
  <c r="Z211" i="5"/>
  <c r="AA211" i="5" s="1"/>
  <c r="Z413" i="5"/>
  <c r="AB413" i="5" s="1"/>
  <c r="Z353" i="5"/>
  <c r="Z296" i="5"/>
  <c r="Z210" i="5"/>
  <c r="Z162" i="5"/>
  <c r="AB162" i="5" s="1"/>
  <c r="Z64" i="5"/>
  <c r="W241" i="5"/>
  <c r="W197" i="5"/>
  <c r="X197" i="5" s="1"/>
  <c r="W191" i="5"/>
  <c r="Y191" i="5" s="1"/>
  <c r="W163" i="5"/>
  <c r="W179" i="5"/>
  <c r="W168" i="5"/>
  <c r="W112" i="5"/>
  <c r="W140" i="5"/>
  <c r="Y140" i="5" s="1"/>
  <c r="W118" i="5"/>
  <c r="Y118" i="5" s="1"/>
  <c r="W141" i="5"/>
  <c r="X141" i="5" s="1"/>
  <c r="W108" i="5"/>
  <c r="Y108" i="5" s="1"/>
  <c r="W130" i="5"/>
  <c r="W95" i="5"/>
  <c r="W106" i="5"/>
  <c r="X106" i="5" s="1"/>
  <c r="W91" i="5"/>
  <c r="Y91" i="5" s="1"/>
  <c r="W81" i="5"/>
  <c r="X81" i="5" s="1"/>
  <c r="W79" i="5"/>
  <c r="W50" i="5"/>
  <c r="Y50" i="5" s="1"/>
  <c r="W53" i="5"/>
  <c r="X53" i="5" s="1"/>
  <c r="W60" i="5"/>
  <c r="Y60" i="5" s="1"/>
  <c r="W39" i="5"/>
  <c r="W33" i="5"/>
  <c r="X33" i="5" s="1"/>
  <c r="Z550" i="5"/>
  <c r="Z434" i="5"/>
  <c r="Z549" i="5"/>
  <c r="AB549" i="5" s="1"/>
  <c r="Z502" i="5"/>
  <c r="Z495" i="5"/>
  <c r="AB495" i="5" s="1"/>
  <c r="Z504" i="5"/>
  <c r="AB504" i="5" s="1"/>
  <c r="Z382" i="5"/>
  <c r="Z371" i="5"/>
  <c r="Z278" i="5"/>
  <c r="AA278" i="5" s="1"/>
  <c r="Z223" i="5"/>
  <c r="Z136" i="5"/>
  <c r="AB136" i="5" s="1"/>
  <c r="Z104" i="5"/>
  <c r="AB104" i="5" s="1"/>
  <c r="Z44" i="5"/>
  <c r="AB44" i="5" s="1"/>
  <c r="W20" i="5"/>
  <c r="W37" i="5"/>
  <c r="X37" i="5" s="1"/>
  <c r="W30" i="5"/>
  <c r="X30" i="5" s="1"/>
  <c r="W46" i="5"/>
  <c r="W32" i="5"/>
  <c r="Y32" i="5" s="1"/>
  <c r="W51" i="5"/>
  <c r="X51" i="5" s="1"/>
  <c r="W57" i="5"/>
  <c r="W71" i="5"/>
  <c r="W52" i="5"/>
  <c r="W68" i="5"/>
  <c r="X68" i="5" s="1"/>
  <c r="W48" i="5"/>
  <c r="X48" i="5" s="1"/>
  <c r="W62" i="5"/>
  <c r="W75" i="5"/>
  <c r="X75" i="5" s="1"/>
  <c r="W70" i="5"/>
  <c r="X70" i="5" s="1"/>
  <c r="W77" i="5"/>
  <c r="X77" i="5" s="1"/>
  <c r="W90" i="5"/>
  <c r="X90" i="5" s="1"/>
  <c r="W88" i="5"/>
  <c r="W82" i="5"/>
  <c r="X82" i="5" s="1"/>
  <c r="W104" i="5"/>
  <c r="Y104" i="5" s="1"/>
  <c r="W84" i="5"/>
  <c r="X84" i="5" s="1"/>
  <c r="W93" i="5"/>
  <c r="X93" i="5" s="1"/>
  <c r="W105" i="5"/>
  <c r="X105" i="5" s="1"/>
  <c r="W122" i="5"/>
  <c r="Y122" i="5" s="1"/>
  <c r="W146" i="5"/>
  <c r="Y146" i="5" s="1"/>
  <c r="W159" i="5"/>
  <c r="W121" i="5"/>
  <c r="X121" i="5" s="1"/>
  <c r="W136" i="5"/>
  <c r="Y136" i="5" s="1"/>
  <c r="W101" i="5"/>
  <c r="Y101" i="5" s="1"/>
  <c r="W117" i="5"/>
  <c r="Y117" i="5" s="1"/>
  <c r="W125" i="5"/>
  <c r="Y125" i="5" s="1"/>
  <c r="W135" i="5"/>
  <c r="Y135" i="5" s="1"/>
  <c r="W149" i="5"/>
  <c r="W155" i="5"/>
  <c r="W156" i="5"/>
  <c r="Y156" i="5" s="1"/>
  <c r="W166" i="5"/>
  <c r="Y166" i="5" s="1"/>
  <c r="W180" i="5"/>
  <c r="X180" i="5" s="1"/>
  <c r="W178" i="5"/>
  <c r="Y178" i="5" s="1"/>
  <c r="W124" i="5"/>
  <c r="Y124" i="5" s="1"/>
  <c r="W151" i="5"/>
  <c r="Y151" i="5" s="1"/>
  <c r="W170" i="5"/>
  <c r="Y170" i="5" s="1"/>
  <c r="W188" i="5"/>
  <c r="W205" i="5"/>
  <c r="X205" i="5" s="1"/>
  <c r="W195" i="5"/>
  <c r="Y195" i="5" s="1"/>
  <c r="W219" i="5"/>
  <c r="W237" i="5"/>
  <c r="X237" i="5" s="1"/>
  <c r="W247" i="5"/>
  <c r="Y247" i="5" s="1"/>
  <c r="W175" i="5"/>
  <c r="X175" i="5" s="1"/>
  <c r="W201" i="5"/>
  <c r="W215" i="5"/>
  <c r="W224" i="5"/>
  <c r="Y224" i="5" s="1"/>
  <c r="W245" i="5"/>
  <c r="X245" i="5" s="1"/>
  <c r="W212" i="5"/>
  <c r="Y212" i="5" s="1"/>
  <c r="W232" i="5"/>
  <c r="W129" i="5"/>
  <c r="Y129" i="5" s="1"/>
  <c r="W230" i="5"/>
  <c r="X230" i="5" s="1"/>
  <c r="W272" i="5"/>
  <c r="Y272" i="5" s="1"/>
  <c r="W286" i="5"/>
  <c r="W304" i="5"/>
  <c r="Y304" i="5" s="1"/>
  <c r="W317" i="5"/>
  <c r="Y317" i="5" s="1"/>
  <c r="W330" i="5"/>
  <c r="X330" i="5" s="1"/>
  <c r="W221" i="5"/>
  <c r="X221" i="5" s="1"/>
  <c r="W254" i="5"/>
  <c r="Y254" i="5" s="1"/>
  <c r="W263" i="5"/>
  <c r="Y263" i="5" s="1"/>
  <c r="W274" i="5"/>
  <c r="X274" i="5" s="1"/>
  <c r="W282" i="5"/>
  <c r="W306" i="5"/>
  <c r="Y306" i="5" s="1"/>
  <c r="W322" i="5"/>
  <c r="W185" i="5"/>
  <c r="X185" i="5" s="1"/>
  <c r="W258" i="5"/>
  <c r="X258" i="5" s="1"/>
  <c r="W291" i="5"/>
  <c r="Y291" i="5" s="1"/>
  <c r="W311" i="5"/>
  <c r="Y311" i="5" s="1"/>
  <c r="W325" i="5"/>
  <c r="Y325" i="5" s="1"/>
  <c r="W336" i="5"/>
  <c r="W347" i="5"/>
  <c r="X347" i="5" s="1"/>
  <c r="W271" i="5"/>
  <c r="Y271" i="5" s="1"/>
  <c r="W338" i="5"/>
  <c r="W352" i="5"/>
  <c r="X352" i="5" s="1"/>
  <c r="W368" i="5"/>
  <c r="Y368" i="5" s="1"/>
  <c r="W382" i="5"/>
  <c r="Y382" i="5" s="1"/>
  <c r="W399" i="5"/>
  <c r="X399" i="5" s="1"/>
  <c r="W413" i="5"/>
  <c r="W432" i="5"/>
  <c r="Y432" i="5" s="1"/>
  <c r="W264" i="5"/>
  <c r="X264" i="5" s="1"/>
  <c r="W334" i="5"/>
  <c r="W350" i="5"/>
  <c r="Y350" i="5" s="1"/>
  <c r="W25" i="5"/>
  <c r="Y25" i="5" s="1"/>
  <c r="W28" i="5"/>
  <c r="X28" i="5" s="1"/>
  <c r="W38" i="5"/>
  <c r="W24" i="5"/>
  <c r="Y24" i="5" s="1"/>
  <c r="W42" i="5"/>
  <c r="W47" i="5"/>
  <c r="X47" i="5" s="1"/>
  <c r="W61" i="5"/>
  <c r="X61" i="5" s="1"/>
  <c r="W36" i="5"/>
  <c r="Y36" i="5" s="1"/>
  <c r="W54" i="5"/>
  <c r="W26" i="5"/>
  <c r="X26" i="5" s="1"/>
  <c r="W56" i="5"/>
  <c r="W67" i="5"/>
  <c r="W55" i="5"/>
  <c r="X55" i="5" s="1"/>
  <c r="W80" i="5"/>
  <c r="W83" i="5"/>
  <c r="W78" i="5"/>
  <c r="W63" i="5"/>
  <c r="X63" i="5" s="1"/>
  <c r="W98" i="5"/>
  <c r="X98" i="5" s="1"/>
  <c r="W109" i="5"/>
  <c r="W89" i="5"/>
  <c r="W100" i="5"/>
  <c r="W114" i="5"/>
  <c r="Y114" i="5" s="1"/>
  <c r="W138" i="5"/>
  <c r="W157" i="5"/>
  <c r="X157" i="5" s="1"/>
  <c r="W113" i="5"/>
  <c r="W127" i="5"/>
  <c r="X127" i="5" s="1"/>
  <c r="W145" i="5"/>
  <c r="W111" i="5"/>
  <c r="W120" i="5"/>
  <c r="Y120" i="5" s="1"/>
  <c r="W133" i="5"/>
  <c r="Y133" i="5" s="1"/>
  <c r="W144" i="5"/>
  <c r="W153" i="5"/>
  <c r="W131" i="5"/>
  <c r="X131" i="5" s="1"/>
  <c r="W162" i="5"/>
  <c r="X162" i="5" s="1"/>
  <c r="W174" i="5"/>
  <c r="W173" i="5"/>
  <c r="W183" i="5"/>
  <c r="W142" i="5"/>
  <c r="X142" i="5" s="1"/>
  <c r="W165" i="5"/>
  <c r="Y165" i="5" s="1"/>
  <c r="W182" i="5"/>
  <c r="W199" i="5"/>
  <c r="W187" i="5"/>
  <c r="X187" i="5" s="1"/>
  <c r="W204" i="5"/>
  <c r="W228" i="5"/>
  <c r="W244" i="5"/>
  <c r="X244" i="5" s="1"/>
  <c r="W161" i="5"/>
  <c r="Y161" i="5" s="1"/>
  <c r="W198" i="5"/>
  <c r="W208" i="5"/>
  <c r="W220" i="5"/>
  <c r="X220" i="5" s="1"/>
  <c r="W234" i="5"/>
  <c r="X234" i="5" s="1"/>
  <c r="W193" i="5"/>
  <c r="W222" i="5"/>
  <c r="Y222" i="5" s="1"/>
  <c r="W242" i="5"/>
  <c r="W210" i="5"/>
  <c r="Y210" i="5" s="1"/>
  <c r="W262" i="5"/>
  <c r="W280" i="5"/>
  <c r="Y280" i="5" s="1"/>
  <c r="W294" i="5"/>
  <c r="W312" i="5"/>
  <c r="Y312" i="5" s="1"/>
  <c r="W326" i="5"/>
  <c r="X326" i="5" s="1"/>
  <c r="W192" i="5"/>
  <c r="W249" i="5"/>
  <c r="X249" i="5" s="1"/>
  <c r="W257" i="5"/>
  <c r="W270" i="5"/>
  <c r="W278" i="5"/>
  <c r="W295" i="5"/>
  <c r="Y295" i="5" s="1"/>
  <c r="W314" i="5"/>
  <c r="X314" i="5" s="1"/>
  <c r="W327" i="5"/>
  <c r="Y327" i="5" s="1"/>
  <c r="W250" i="5"/>
  <c r="W276" i="5"/>
  <c r="W299" i="5"/>
  <c r="X299" i="5" s="1"/>
  <c r="W316" i="5"/>
  <c r="Y316" i="5" s="1"/>
  <c r="W331" i="5"/>
  <c r="W344" i="5"/>
  <c r="W359" i="5"/>
  <c r="X359" i="5" s="1"/>
  <c r="W321" i="5"/>
  <c r="X321" i="5" s="1"/>
  <c r="W348" i="5"/>
  <c r="Y348" i="5" s="1"/>
  <c r="W358" i="5"/>
  <c r="X358" i="5" s="1"/>
  <c r="W374" i="5"/>
  <c r="X374" i="5" s="1"/>
  <c r="W392" i="5"/>
  <c r="W408" i="5"/>
  <c r="Y408" i="5" s="1"/>
  <c r="W419" i="5"/>
  <c r="X419" i="5" s="1"/>
  <c r="W233" i="5"/>
  <c r="X233" i="5" s="1"/>
  <c r="W303" i="5"/>
  <c r="Y303" i="5" s="1"/>
  <c r="W342" i="5"/>
  <c r="W362" i="5"/>
  <c r="Z485" i="5"/>
  <c r="Z532" i="5"/>
  <c r="Z464" i="5"/>
  <c r="Z529" i="5"/>
  <c r="AB529" i="5" s="1"/>
  <c r="Z535" i="5"/>
  <c r="Z448" i="5"/>
  <c r="Z538" i="5"/>
  <c r="Z469" i="5"/>
  <c r="AB469" i="5" s="1"/>
  <c r="Z246" i="5"/>
  <c r="AB246" i="5" s="1"/>
  <c r="Z463" i="5"/>
  <c r="Z313" i="5"/>
  <c r="Z474" i="5"/>
  <c r="AA474" i="5" s="1"/>
  <c r="Z415" i="5"/>
  <c r="AA415" i="5" s="1"/>
  <c r="Z350" i="5"/>
  <c r="Z401" i="5"/>
  <c r="Z431" i="5"/>
  <c r="AB431" i="5" s="1"/>
  <c r="Z334" i="5"/>
  <c r="AA334" i="5" s="1"/>
  <c r="Z317" i="5"/>
  <c r="Z271" i="5"/>
  <c r="AA271" i="5" s="1"/>
  <c r="Z226" i="5"/>
  <c r="Z182" i="5"/>
  <c r="AA182" i="5" s="1"/>
  <c r="Z186" i="5"/>
  <c r="Z150" i="5"/>
  <c r="AA150" i="5" s="1"/>
  <c r="Z95" i="5"/>
  <c r="AA95" i="5" s="1"/>
  <c r="Z52" i="5"/>
  <c r="AA52" i="5" s="1"/>
  <c r="Z43" i="5"/>
  <c r="Z19" i="5"/>
  <c r="AA19" i="5" s="1"/>
  <c r="Z554" i="5"/>
  <c r="Z514" i="5"/>
  <c r="Z436" i="5"/>
  <c r="AB436" i="5" s="1"/>
  <c r="Z501" i="5"/>
  <c r="Z555" i="5"/>
  <c r="AA555" i="5" s="1"/>
  <c r="Z342" i="5"/>
  <c r="Z513" i="5"/>
  <c r="Z443" i="5"/>
  <c r="AB443" i="5" s="1"/>
  <c r="Z509" i="5"/>
  <c r="AA509" i="5" s="1"/>
  <c r="Z446" i="5"/>
  <c r="Z525" i="5"/>
  <c r="Z453" i="5"/>
  <c r="AA453" i="5" s="1"/>
  <c r="Z397" i="5"/>
  <c r="AB397" i="5" s="1"/>
  <c r="Z328" i="5"/>
  <c r="Z384" i="5"/>
  <c r="AA384" i="5" s="1"/>
  <c r="Z390" i="5"/>
  <c r="AA390" i="5" s="1"/>
  <c r="Z295" i="5"/>
  <c r="Z272" i="5"/>
  <c r="Z216" i="5"/>
  <c r="Z169" i="5"/>
  <c r="Z178" i="5"/>
  <c r="AB178" i="5" s="1"/>
  <c r="Z137" i="5"/>
  <c r="Z120" i="5"/>
  <c r="AB120" i="5" s="1"/>
  <c r="Z76" i="5"/>
  <c r="Z58" i="5"/>
  <c r="Z528" i="5"/>
  <c r="AA528" i="5" s="1"/>
  <c r="Z456" i="5"/>
  <c r="Z546" i="5"/>
  <c r="AB546" i="5" s="1"/>
  <c r="Z527" i="5"/>
  <c r="AA527" i="5" s="1"/>
  <c r="Z490" i="5"/>
  <c r="Z460" i="5"/>
  <c r="Z545" i="5"/>
  <c r="AB545" i="5" s="1"/>
  <c r="Z523" i="5"/>
  <c r="Z475" i="5"/>
  <c r="Z560" i="5"/>
  <c r="Z526" i="5"/>
  <c r="Z433" i="5"/>
  <c r="Z557" i="5"/>
  <c r="Z536" i="5"/>
  <c r="Z499" i="5"/>
  <c r="AB499" i="5" s="1"/>
  <c r="Z466" i="5"/>
  <c r="Z427" i="5"/>
  <c r="Z521" i="5"/>
  <c r="Z484" i="5"/>
  <c r="Z461" i="5"/>
  <c r="Z405" i="5"/>
  <c r="Z258" i="5"/>
  <c r="AA258" i="5" s="1"/>
  <c r="Z500" i="5"/>
  <c r="Z468" i="5"/>
  <c r="AA468" i="5" s="1"/>
  <c r="Z391" i="5"/>
  <c r="AB391" i="5" s="1"/>
  <c r="Z406" i="5"/>
  <c r="Z378" i="5"/>
  <c r="Z348" i="5"/>
  <c r="AA348" i="5" s="1"/>
  <c r="Z266" i="5"/>
  <c r="AB266" i="5" s="1"/>
  <c r="Z399" i="5"/>
  <c r="AA399" i="5" s="1"/>
  <c r="Z370" i="5"/>
  <c r="Z423" i="5"/>
  <c r="AB423" i="5" s="1"/>
  <c r="Z363" i="5"/>
  <c r="AA363" i="5" s="1"/>
  <c r="Z322" i="5"/>
  <c r="AA322" i="5" s="1"/>
  <c r="Z273" i="5"/>
  <c r="AB273" i="5" s="1"/>
  <c r="Z298" i="5"/>
  <c r="AA298" i="5" s="1"/>
  <c r="Z323" i="5"/>
  <c r="AA323" i="5" s="1"/>
  <c r="Z261" i="5"/>
  <c r="AB261" i="5" s="1"/>
  <c r="Z215" i="5"/>
  <c r="AB215" i="5" s="1"/>
  <c r="Z205" i="5"/>
  <c r="Z235" i="5"/>
  <c r="AA235" i="5" s="1"/>
  <c r="Z207" i="5"/>
  <c r="Z109" i="5"/>
  <c r="AA109" i="5" s="1"/>
  <c r="Z172" i="5"/>
  <c r="AB172" i="5" s="1"/>
  <c r="Z152" i="5"/>
  <c r="AB152" i="5" s="1"/>
  <c r="Z144" i="5"/>
  <c r="AA144" i="5" s="1"/>
  <c r="Z105" i="5"/>
  <c r="AA105" i="5" s="1"/>
  <c r="Z84" i="5"/>
  <c r="AB84" i="5" s="1"/>
  <c r="Z71" i="5"/>
  <c r="Z69" i="5"/>
  <c r="Z30" i="5"/>
  <c r="AB30" i="5" s="1"/>
  <c r="Z47" i="5"/>
  <c r="Z35" i="5"/>
  <c r="Z46" i="5"/>
  <c r="AB46" i="5" s="1"/>
  <c r="Z73" i="5"/>
  <c r="AA73" i="5" s="1"/>
  <c r="Z53" i="5"/>
  <c r="Z77" i="5"/>
  <c r="Z42" i="5"/>
  <c r="AB42" i="5" s="1"/>
  <c r="Z87" i="5"/>
  <c r="AB87" i="5" s="1"/>
  <c r="Z88" i="5"/>
  <c r="Z97" i="5"/>
  <c r="Z111" i="5"/>
  <c r="AB111" i="5" s="1"/>
  <c r="Z131" i="5"/>
  <c r="Z153" i="5"/>
  <c r="AB153" i="5" s="1"/>
  <c r="Z130" i="5"/>
  <c r="AA130" i="5" s="1"/>
  <c r="Z100" i="5"/>
  <c r="AA100" i="5" s="1"/>
  <c r="Z151" i="5"/>
  <c r="AB151" i="5" s="1"/>
  <c r="Z99" i="5"/>
  <c r="Z174" i="5"/>
  <c r="AA174" i="5" s="1"/>
  <c r="Z145" i="5"/>
  <c r="AB145" i="5" s="1"/>
  <c r="Z193" i="5"/>
  <c r="AA193" i="5" s="1"/>
  <c r="Z190" i="5"/>
  <c r="Z222" i="5"/>
  <c r="AB222" i="5" s="1"/>
  <c r="Z250" i="5"/>
  <c r="AA250" i="5" s="1"/>
  <c r="Z194" i="5"/>
  <c r="AB194" i="5" s="1"/>
  <c r="Z228" i="5"/>
  <c r="Z200" i="5"/>
  <c r="AB200" i="5" s="1"/>
  <c r="Z224" i="5"/>
  <c r="AB224" i="5" s="1"/>
  <c r="Z247" i="5"/>
  <c r="Z281" i="5"/>
  <c r="Z305" i="5"/>
  <c r="AA305" i="5" s="1"/>
  <c r="Z248" i="5"/>
  <c r="AB248" i="5" s="1"/>
  <c r="Z284" i="5"/>
  <c r="AB284" i="5" s="1"/>
  <c r="Z326" i="5"/>
  <c r="Z260" i="5"/>
  <c r="AA260" i="5" s="1"/>
  <c r="Z279" i="5"/>
  <c r="Z312" i="5"/>
  <c r="AA312" i="5" s="1"/>
  <c r="Z337" i="5"/>
  <c r="AA337" i="5" s="1"/>
  <c r="Z318" i="5"/>
  <c r="Z375" i="5"/>
  <c r="Z414" i="5"/>
  <c r="AB414" i="5" s="1"/>
  <c r="Z435" i="5"/>
  <c r="Z338" i="5"/>
  <c r="AB338" i="5" s="1"/>
  <c r="Z377" i="5"/>
  <c r="Z392" i="5"/>
  <c r="Z408" i="5"/>
  <c r="Z419" i="5"/>
  <c r="AA419" i="5" s="1"/>
  <c r="Z311" i="5"/>
  <c r="Z344" i="5"/>
  <c r="Z356" i="5"/>
  <c r="Z366" i="5"/>
  <c r="Z388" i="5"/>
  <c r="Z400" i="5"/>
  <c r="Z420" i="5"/>
  <c r="Z367" i="5"/>
  <c r="Z437" i="5"/>
  <c r="Z459" i="5"/>
  <c r="Z477" i="5"/>
  <c r="Z492" i="5"/>
  <c r="Z505" i="5"/>
  <c r="Z537" i="5"/>
  <c r="Z341" i="5"/>
  <c r="AB341" i="5" s="1"/>
  <c r="Z393" i="5"/>
  <c r="Z432" i="5"/>
  <c r="Z454" i="5"/>
  <c r="Z465" i="5"/>
  <c r="Z476" i="5"/>
  <c r="AB476" i="5" s="1"/>
  <c r="Z503" i="5"/>
  <c r="Z519" i="5"/>
  <c r="Z327" i="5"/>
  <c r="Z407" i="5"/>
  <c r="AB407" i="5" s="1"/>
  <c r="Z429" i="5"/>
  <c r="Z450" i="5"/>
  <c r="Z481" i="5"/>
  <c r="AB481" i="5" s="1"/>
  <c r="Z493" i="5"/>
  <c r="Z508" i="5"/>
  <c r="Z522" i="5"/>
  <c r="AA522" i="5" s="1"/>
  <c r="Z539" i="5"/>
  <c r="Z548" i="5"/>
  <c r="Z316" i="5"/>
  <c r="Z362" i="5"/>
  <c r="Z458" i="5"/>
  <c r="Z31" i="5"/>
  <c r="AA31" i="5" s="1"/>
  <c r="Z20" i="5"/>
  <c r="AA20" i="5" s="1"/>
  <c r="Z29" i="5"/>
  <c r="AB29" i="5" s="1"/>
  <c r="Z39" i="5"/>
  <c r="AA39" i="5" s="1"/>
  <c r="Z60" i="5"/>
  <c r="AB60" i="5" s="1"/>
  <c r="Z61" i="5"/>
  <c r="AA61" i="5" s="1"/>
  <c r="Z65" i="5"/>
  <c r="AB65" i="5" s="1"/>
  <c r="Z70" i="5"/>
  <c r="Z83" i="5"/>
  <c r="AB83" i="5" s="1"/>
  <c r="Z108" i="5"/>
  <c r="AA108" i="5" s="1"/>
  <c r="Z103" i="5"/>
  <c r="AA103" i="5" s="1"/>
  <c r="Z118" i="5"/>
  <c r="AB118" i="5" s="1"/>
  <c r="Z140" i="5"/>
  <c r="AB140" i="5" s="1"/>
  <c r="Z161" i="5"/>
  <c r="AB161" i="5" s="1"/>
  <c r="Z146" i="5"/>
  <c r="AA146" i="5" s="1"/>
  <c r="Z129" i="5"/>
  <c r="Z167" i="5"/>
  <c r="AB167" i="5" s="1"/>
  <c r="Z159" i="5"/>
  <c r="AB159" i="5" s="1"/>
  <c r="Z106" i="5"/>
  <c r="AA106" i="5" s="1"/>
  <c r="Z177" i="5"/>
  <c r="Z203" i="5"/>
  <c r="AB203" i="5" s="1"/>
  <c r="Z206" i="5"/>
  <c r="Z233" i="5"/>
  <c r="AA233" i="5" s="1"/>
  <c r="Z132" i="5"/>
  <c r="Z204" i="5"/>
  <c r="AB204" i="5" s="1"/>
  <c r="Z241" i="5"/>
  <c r="AB241" i="5" s="1"/>
  <c r="Z209" i="5"/>
  <c r="Z239" i="5"/>
  <c r="Z259" i="5"/>
  <c r="Z291" i="5"/>
  <c r="AA291" i="5" s="1"/>
  <c r="Z321" i="5"/>
  <c r="AA321" i="5" s="1"/>
  <c r="Z268" i="5"/>
  <c r="Z294" i="5"/>
  <c r="AB294" i="5" s="1"/>
  <c r="Z212" i="5"/>
  <c r="AB212" i="5" s="1"/>
  <c r="Z270" i="5"/>
  <c r="AA270" i="5" s="1"/>
  <c r="Z289" i="5"/>
  <c r="Z320" i="5"/>
  <c r="Z351" i="5"/>
  <c r="Z347" i="5"/>
  <c r="AB347" i="5" s="1"/>
  <c r="Z385" i="5"/>
  <c r="Z422" i="5"/>
  <c r="AB422" i="5" s="1"/>
  <c r="Z442" i="5"/>
  <c r="Z360" i="5"/>
  <c r="Z380" i="5"/>
  <c r="Z395" i="5"/>
  <c r="Z412" i="5"/>
  <c r="AB412" i="5" s="1"/>
  <c r="Z251" i="5"/>
  <c r="Z325" i="5"/>
  <c r="AA325" i="5" s="1"/>
  <c r="Z345" i="5"/>
  <c r="Z358" i="5"/>
  <c r="AB358" i="5" s="1"/>
  <c r="Z374" i="5"/>
  <c r="AB374" i="5" s="1"/>
  <c r="Z394" i="5"/>
  <c r="Z403" i="5"/>
  <c r="AA403" i="5" s="1"/>
  <c r="Z421" i="5"/>
  <c r="Z376" i="5"/>
  <c r="Z452" i="5"/>
  <c r="Z462" i="5"/>
  <c r="Z478" i="5"/>
  <c r="Z498" i="5"/>
  <c r="Z507" i="5"/>
  <c r="Z189" i="5"/>
  <c r="Z355" i="5"/>
  <c r="Z396" i="5"/>
  <c r="Z444" i="5"/>
  <c r="AA444" i="5" s="1"/>
  <c r="Z455" i="5"/>
  <c r="Z467" i="5"/>
  <c r="Z479" i="5"/>
  <c r="Z506" i="5"/>
  <c r="Z520" i="5"/>
  <c r="Z349" i="5"/>
  <c r="Z410" i="5"/>
  <c r="Z441" i="5"/>
  <c r="Z451" i="5"/>
  <c r="AA451" i="5" s="1"/>
  <c r="Z487" i="5"/>
  <c r="Z494" i="5"/>
  <c r="Z510" i="5"/>
  <c r="Z530" i="5"/>
  <c r="Z541" i="5"/>
  <c r="Z553" i="5"/>
  <c r="Z340" i="5"/>
  <c r="Z368" i="5"/>
  <c r="AA368" i="5" s="1"/>
  <c r="Z472" i="5"/>
  <c r="Z533" i="5"/>
  <c r="Z558" i="5"/>
  <c r="Z447" i="5"/>
  <c r="Z517" i="5"/>
  <c r="Z409" i="5"/>
  <c r="Z542" i="5"/>
  <c r="Z524" i="5"/>
  <c r="Z483" i="5"/>
  <c r="Z438" i="5"/>
  <c r="Z547" i="5"/>
  <c r="Z515" i="5"/>
  <c r="Z471" i="5"/>
  <c r="Z556" i="5"/>
  <c r="Z516" i="5"/>
  <c r="Z354" i="5"/>
  <c r="Z544" i="5"/>
  <c r="AB544" i="5" s="1"/>
  <c r="Z518" i="5"/>
  <c r="AB518" i="5" s="1"/>
  <c r="Z489" i="5"/>
  <c r="AB489" i="5" s="1"/>
  <c r="Z445" i="5"/>
  <c r="Z386" i="5"/>
  <c r="Z511" i="5"/>
  <c r="AB511" i="5" s="1"/>
  <c r="Z473" i="5"/>
  <c r="Z449" i="5"/>
  <c r="Z387" i="5"/>
  <c r="AA387" i="5" s="1"/>
  <c r="Z531" i="5"/>
  <c r="Z486" i="5"/>
  <c r="AA486" i="5" s="1"/>
  <c r="Z457" i="5"/>
  <c r="Z299" i="5"/>
  <c r="Z398" i="5"/>
  <c r="AB398" i="5" s="1"/>
  <c r="Z364" i="5"/>
  <c r="AB364" i="5" s="1"/>
  <c r="Z336" i="5"/>
  <c r="Z416" i="5"/>
  <c r="AA416" i="5" s="1"/>
  <c r="Z389" i="5"/>
  <c r="AA389" i="5" s="1"/>
  <c r="Z335" i="5"/>
  <c r="AA335" i="5" s="1"/>
  <c r="Z411" i="5"/>
  <c r="Z304" i="5"/>
  <c r="AB304" i="5" s="1"/>
  <c r="Z306" i="5"/>
  <c r="Z257" i="5"/>
  <c r="AA257" i="5" s="1"/>
  <c r="Z283" i="5"/>
  <c r="Z303" i="5"/>
  <c r="AB303" i="5" s="1"/>
  <c r="Z245" i="5"/>
  <c r="Z199" i="5"/>
  <c r="AB199" i="5" s="1"/>
  <c r="Z188" i="5"/>
  <c r="AB188" i="5" s="1"/>
  <c r="Z221" i="5"/>
  <c r="AA221" i="5" s="1"/>
  <c r="Z187" i="5"/>
  <c r="AA187" i="5" s="1"/>
  <c r="Z168" i="5"/>
  <c r="AB168" i="5" s="1"/>
  <c r="Z148" i="5"/>
  <c r="Z122" i="5"/>
  <c r="AA122" i="5" s="1"/>
  <c r="Z128" i="5"/>
  <c r="Z96" i="5"/>
  <c r="AA96" i="5" s="1"/>
  <c r="Z85" i="5"/>
  <c r="Z56" i="5"/>
  <c r="AB56" i="5" s="1"/>
  <c r="Z66" i="5"/>
  <c r="Z26" i="5"/>
  <c r="AA26" i="5" s="1"/>
  <c r="Z36" i="5"/>
  <c r="AB36" i="5" s="1"/>
  <c r="Z48" i="5"/>
  <c r="Z23" i="5"/>
  <c r="Z37" i="5"/>
  <c r="Z33" i="5"/>
  <c r="Z21" i="5"/>
  <c r="Z59" i="5"/>
  <c r="AA59" i="5" s="1"/>
  <c r="Z24" i="5"/>
  <c r="Z45" i="5"/>
  <c r="AA45" i="5" s="1"/>
  <c r="Z54" i="5"/>
  <c r="Z68" i="5"/>
  <c r="AA68" i="5" s="1"/>
  <c r="Z78" i="5"/>
  <c r="Z72" i="5"/>
  <c r="Z50" i="5"/>
  <c r="Z80" i="5"/>
  <c r="AB80" i="5" s="1"/>
  <c r="Z91" i="5"/>
  <c r="AA91" i="5" s="1"/>
  <c r="Z90" i="5"/>
  <c r="AB90" i="5" s="1"/>
  <c r="Z89" i="5"/>
  <c r="Z74" i="5"/>
  <c r="AA74" i="5" s="1"/>
  <c r="Z98" i="5"/>
  <c r="AA98" i="5" s="1"/>
  <c r="Z107" i="5"/>
  <c r="Z116" i="5"/>
  <c r="Z123" i="5"/>
  <c r="AA123" i="5" s="1"/>
  <c r="Z133" i="5"/>
  <c r="AA133" i="5" s="1"/>
  <c r="Z147" i="5"/>
  <c r="AA147" i="5" s="1"/>
  <c r="Z154" i="5"/>
  <c r="Z114" i="5"/>
  <c r="AB114" i="5" s="1"/>
  <c r="Z134" i="5"/>
  <c r="Z157" i="5"/>
  <c r="AA157" i="5" s="1"/>
  <c r="Z112" i="5"/>
  <c r="Z139" i="5"/>
  <c r="AA139" i="5" s="1"/>
  <c r="Z156" i="5"/>
  <c r="Z175" i="5"/>
  <c r="Z115" i="5"/>
  <c r="Z164" i="5"/>
  <c r="AB164" i="5" s="1"/>
  <c r="Z176" i="5"/>
  <c r="AB176" i="5" s="1"/>
  <c r="Z121" i="5"/>
  <c r="Z171" i="5"/>
  <c r="AB171" i="5" s="1"/>
  <c r="Z179" i="5"/>
  <c r="AA179" i="5" s="1"/>
  <c r="Z195" i="5"/>
  <c r="Z113" i="5"/>
  <c r="Z191" i="5"/>
  <c r="Z213" i="5"/>
  <c r="AA213" i="5" s="1"/>
  <c r="Z225" i="5"/>
  <c r="Z236" i="5"/>
  <c r="AA236" i="5" s="1"/>
  <c r="Z252" i="5"/>
  <c r="AB252" i="5" s="1"/>
  <c r="Z181" i="5"/>
  <c r="AA181" i="5" s="1"/>
  <c r="Z197" i="5"/>
  <c r="AB197" i="5" s="1"/>
  <c r="Z214" i="5"/>
  <c r="AA214" i="5" s="1"/>
  <c r="Z231" i="5"/>
  <c r="Z163" i="5"/>
  <c r="Z201" i="5"/>
  <c r="Z218" i="5"/>
  <c r="Z227" i="5"/>
  <c r="Z238" i="5"/>
  <c r="Z253" i="5"/>
  <c r="Z264" i="5"/>
  <c r="AB264" i="5" s="1"/>
  <c r="Z285" i="5"/>
  <c r="Z300" i="5"/>
  <c r="Z307" i="5"/>
  <c r="AA307" i="5" s="1"/>
  <c r="Z331" i="5"/>
  <c r="AB331" i="5" s="1"/>
  <c r="Z262" i="5"/>
  <c r="AB262" i="5" s="1"/>
  <c r="Z275" i="5"/>
  <c r="AB275" i="5" s="1"/>
  <c r="Z290" i="5"/>
  <c r="Z309" i="5"/>
  <c r="Z329" i="5"/>
  <c r="Z254" i="5"/>
  <c r="Z263" i="5"/>
  <c r="Z274" i="5"/>
  <c r="AB274" i="5" s="1"/>
  <c r="Z282" i="5"/>
  <c r="Z297" i="5"/>
  <c r="AA297" i="5" s="1"/>
  <c r="Z314" i="5"/>
  <c r="AA314" i="5" s="1"/>
  <c r="Z324" i="5"/>
  <c r="Z339" i="5"/>
  <c r="Z361" i="5"/>
  <c r="AA361" i="5" s="1"/>
  <c r="Z333" i="5"/>
  <c r="Z365" i="5"/>
  <c r="Z379" i="5"/>
  <c r="Z402" i="5"/>
  <c r="Z417" i="5"/>
  <c r="Z425" i="5"/>
  <c r="Z439" i="5"/>
  <c r="AB439" i="5" s="1"/>
  <c r="Z286" i="5"/>
  <c r="AB286" i="5" s="1"/>
  <c r="Z352" i="5"/>
  <c r="Z27" i="5"/>
  <c r="Z40" i="5"/>
  <c r="AA40" i="5" s="1"/>
  <c r="Z49" i="5"/>
  <c r="Z25" i="5"/>
  <c r="AB25" i="5" s="1"/>
  <c r="Z41" i="5"/>
  <c r="Z38" i="5"/>
  <c r="AB38" i="5" s="1"/>
  <c r="Z28" i="5"/>
  <c r="AB28" i="5" s="1"/>
  <c r="Z63" i="5"/>
  <c r="AB63" i="5" s="1"/>
  <c r="Z55" i="5"/>
  <c r="AB55" i="5" s="1"/>
  <c r="Z51" i="5"/>
  <c r="AB51" i="5" s="1"/>
  <c r="Z57" i="5"/>
  <c r="Z32" i="5"/>
  <c r="AA32" i="5" s="1"/>
  <c r="Z62" i="5"/>
  <c r="Z75" i="5"/>
  <c r="Z67" i="5"/>
  <c r="AB67" i="5" s="1"/>
  <c r="Z82" i="5"/>
  <c r="AB82" i="5" s="1"/>
  <c r="Z93" i="5"/>
  <c r="AB93" i="5" s="1"/>
  <c r="Z92" i="5"/>
  <c r="AA92" i="5" s="1"/>
  <c r="Z101" i="5"/>
  <c r="Z86" i="5"/>
  <c r="Z102" i="5"/>
  <c r="AA102" i="5" s="1"/>
  <c r="Z81" i="5"/>
  <c r="AB81" i="5" s="1"/>
  <c r="Z117" i="5"/>
  <c r="AA117" i="5" s="1"/>
  <c r="Z125" i="5"/>
  <c r="AB125" i="5" s="1"/>
  <c r="Z135" i="5"/>
  <c r="Z149" i="5"/>
  <c r="AB149" i="5" s="1"/>
  <c r="Z155" i="5"/>
  <c r="Z119" i="5"/>
  <c r="Z138" i="5"/>
  <c r="AA138" i="5" s="1"/>
  <c r="Z158" i="5"/>
  <c r="Z124" i="5"/>
  <c r="AA124" i="5" s="1"/>
  <c r="Z142" i="5"/>
  <c r="Z141" i="5"/>
  <c r="AA141" i="5" s="1"/>
  <c r="Z185" i="5"/>
  <c r="AA185" i="5" s="1"/>
  <c r="Z143" i="5"/>
  <c r="Z166" i="5"/>
  <c r="AB166" i="5" s="1"/>
  <c r="Z180" i="5"/>
  <c r="Z127" i="5"/>
  <c r="Z173" i="5"/>
  <c r="Z183" i="5"/>
  <c r="Z196" i="5"/>
  <c r="Z170" i="5"/>
  <c r="AA170" i="5" s="1"/>
  <c r="Z192" i="5"/>
  <c r="Z217" i="5"/>
  <c r="Z230" i="5"/>
  <c r="Z240" i="5"/>
  <c r="AB240" i="5" s="1"/>
  <c r="Z126" i="5"/>
  <c r="AB126" i="5" s="1"/>
  <c r="Z184" i="5"/>
  <c r="AB184" i="5" s="1"/>
  <c r="Z202" i="5"/>
  <c r="Z219" i="5"/>
  <c r="Z237" i="5"/>
  <c r="Z198" i="5"/>
  <c r="Z208" i="5"/>
  <c r="Z220" i="5"/>
  <c r="AB220" i="5" s="1"/>
  <c r="Z234" i="5"/>
  <c r="AB234" i="5" s="1"/>
  <c r="Z242" i="5"/>
  <c r="AA242" i="5" s="1"/>
  <c r="Z256" i="5"/>
  <c r="Z269" i="5"/>
  <c r="Z288" i="5"/>
  <c r="Z302" i="5"/>
  <c r="AA302" i="5" s="1"/>
  <c r="Z310" i="5"/>
  <c r="Z165" i="5"/>
  <c r="Z267" i="5"/>
  <c r="Z280" i="5"/>
  <c r="AA280" i="5" s="1"/>
  <c r="Z293" i="5"/>
  <c r="Z315" i="5"/>
  <c r="Z330" i="5"/>
  <c r="Z255" i="5"/>
  <c r="AB255" i="5" s="1"/>
  <c r="Z265" i="5"/>
  <c r="AB265" i="5" s="1"/>
  <c r="Z277" i="5"/>
  <c r="AB277" i="5" s="1"/>
  <c r="Z287" i="5"/>
  <c r="Z301" i="5"/>
  <c r="Z319" i="5"/>
  <c r="Z332" i="5"/>
  <c r="Z346" i="5"/>
  <c r="Z243" i="5"/>
  <c r="AB243" i="5" s="1"/>
  <c r="Z343" i="5"/>
  <c r="AA343" i="5" s="1"/>
  <c r="Z369" i="5"/>
  <c r="AB369" i="5" s="1"/>
  <c r="Z383" i="5"/>
  <c r="AB383" i="5" s="1"/>
  <c r="Z404" i="5"/>
  <c r="AA404" i="5" s="1"/>
  <c r="Z418" i="5"/>
  <c r="Z430" i="5"/>
  <c r="Z440" i="5"/>
  <c r="Z292" i="5"/>
  <c r="AA292" i="5" s="1"/>
  <c r="Z357" i="5"/>
  <c r="R539" i="5"/>
  <c r="S539" i="5"/>
  <c r="R556" i="5"/>
  <c r="S556" i="5"/>
  <c r="R554" i="5"/>
  <c r="S554" i="5"/>
  <c r="S443" i="5"/>
  <c r="R443" i="5"/>
  <c r="S508" i="5"/>
  <c r="R508" i="5"/>
  <c r="R559" i="5"/>
  <c r="S559" i="5"/>
  <c r="R537" i="5"/>
  <c r="S537" i="5"/>
  <c r="S479" i="5"/>
  <c r="R479" i="5"/>
  <c r="R449" i="5"/>
  <c r="S449" i="5"/>
  <c r="S506" i="5"/>
  <c r="R506" i="5"/>
  <c r="S469" i="5"/>
  <c r="R469" i="5"/>
  <c r="S446" i="5"/>
  <c r="R446" i="5"/>
  <c r="S301" i="5"/>
  <c r="R301" i="5"/>
  <c r="S503" i="5"/>
  <c r="R503" i="5"/>
  <c r="S485" i="5"/>
  <c r="R485" i="5"/>
  <c r="S456" i="5"/>
  <c r="R456" i="5"/>
  <c r="S318" i="5"/>
  <c r="R318" i="5"/>
  <c r="S412" i="5"/>
  <c r="R412" i="5"/>
  <c r="R368" i="5"/>
  <c r="S368" i="5"/>
  <c r="S414" i="5"/>
  <c r="R414" i="5"/>
  <c r="S402" i="5"/>
  <c r="R402" i="5"/>
  <c r="S353" i="5"/>
  <c r="R353" i="5"/>
  <c r="S441" i="5"/>
  <c r="R441" i="5"/>
  <c r="S431" i="5"/>
  <c r="R431" i="5"/>
  <c r="R380" i="5"/>
  <c r="S380" i="5"/>
  <c r="S371" i="5"/>
  <c r="R371" i="5"/>
  <c r="R357" i="5"/>
  <c r="S357" i="5"/>
  <c r="S346" i="5"/>
  <c r="R346" i="5"/>
  <c r="S329" i="5"/>
  <c r="R329" i="5"/>
  <c r="R315" i="5"/>
  <c r="S315" i="5"/>
  <c r="R283" i="5"/>
  <c r="S283" i="5"/>
  <c r="R265" i="5"/>
  <c r="S265" i="5"/>
  <c r="R243" i="5"/>
  <c r="S243" i="5"/>
  <c r="S211" i="5"/>
  <c r="R211" i="5"/>
  <c r="S330" i="5"/>
  <c r="R330" i="5"/>
  <c r="S310" i="5"/>
  <c r="R310" i="5"/>
  <c r="R300" i="5"/>
  <c r="S300" i="5"/>
  <c r="S290" i="5"/>
  <c r="R290" i="5"/>
  <c r="S261" i="5"/>
  <c r="R261" i="5"/>
  <c r="R247" i="5"/>
  <c r="S247" i="5"/>
  <c r="R212" i="5"/>
  <c r="S212" i="5"/>
  <c r="R328" i="5"/>
  <c r="S328" i="5"/>
  <c r="R313" i="5"/>
  <c r="S313" i="5"/>
  <c r="R292" i="5"/>
  <c r="S292" i="5"/>
  <c r="R276" i="5"/>
  <c r="S276" i="5"/>
  <c r="R258" i="5"/>
  <c r="S258" i="5"/>
  <c r="R213" i="5"/>
  <c r="S213" i="5"/>
  <c r="S244" i="5"/>
  <c r="R244" i="5"/>
  <c r="S231" i="5"/>
  <c r="R231" i="5"/>
  <c r="S217" i="5"/>
  <c r="R217" i="5"/>
  <c r="R205" i="5"/>
  <c r="S205" i="5"/>
  <c r="R165" i="5"/>
  <c r="S165" i="5"/>
  <c r="S230" i="5"/>
  <c r="R230" i="5"/>
  <c r="R219" i="5"/>
  <c r="S219" i="5"/>
  <c r="R191" i="5"/>
  <c r="S191" i="5"/>
  <c r="R107" i="5"/>
  <c r="S107" i="5"/>
  <c r="R238" i="5"/>
  <c r="S238" i="5"/>
  <c r="R216" i="5"/>
  <c r="S216" i="5"/>
  <c r="R193" i="5"/>
  <c r="S193" i="5"/>
  <c r="R207" i="5"/>
  <c r="S207" i="5"/>
  <c r="S178" i="5"/>
  <c r="R178" i="5"/>
  <c r="R164" i="5"/>
  <c r="S164" i="5"/>
  <c r="S180" i="5"/>
  <c r="R180" i="5"/>
  <c r="R166" i="5"/>
  <c r="S166" i="5"/>
  <c r="R130" i="5"/>
  <c r="S130" i="5"/>
  <c r="R169" i="5"/>
  <c r="S169" i="5"/>
  <c r="R115" i="5"/>
  <c r="S115" i="5"/>
  <c r="R150" i="5"/>
  <c r="S150" i="5"/>
  <c r="R136" i="5"/>
  <c r="S136" i="5"/>
  <c r="S126" i="5"/>
  <c r="R126" i="5"/>
  <c r="S113" i="5"/>
  <c r="R113" i="5"/>
  <c r="S96" i="5"/>
  <c r="R96" i="5"/>
  <c r="R149" i="5"/>
  <c r="S149" i="5"/>
  <c r="R138" i="5"/>
  <c r="S138" i="5"/>
  <c r="S114" i="5"/>
  <c r="R114" i="5"/>
  <c r="S160" i="5"/>
  <c r="R160" i="5"/>
  <c r="S151" i="5"/>
  <c r="R151" i="5"/>
  <c r="S135" i="5"/>
  <c r="R135" i="5"/>
  <c r="R119" i="5"/>
  <c r="S119" i="5"/>
  <c r="S99" i="5"/>
  <c r="R99" i="5"/>
  <c r="R103" i="5"/>
  <c r="S103" i="5"/>
  <c r="S111" i="5"/>
  <c r="R111" i="5"/>
  <c r="S90" i="5"/>
  <c r="R90" i="5"/>
  <c r="S95" i="5"/>
  <c r="R95" i="5"/>
  <c r="S91" i="5"/>
  <c r="R91" i="5"/>
  <c r="R75" i="5"/>
  <c r="S75" i="5"/>
  <c r="S28" i="5"/>
  <c r="R28" i="5"/>
  <c r="R70" i="5"/>
  <c r="S70" i="5"/>
  <c r="R61" i="5"/>
  <c r="S61" i="5"/>
  <c r="R60" i="5"/>
  <c r="S60" i="5"/>
  <c r="R38" i="5"/>
  <c r="S38" i="5"/>
  <c r="R59" i="5"/>
  <c r="S59" i="5"/>
  <c r="S27" i="5"/>
  <c r="R27" i="5"/>
  <c r="R50" i="5"/>
  <c r="S50" i="5"/>
  <c r="R35" i="5"/>
  <c r="S35" i="5"/>
  <c r="S25" i="5"/>
  <c r="R25" i="5"/>
  <c r="S34" i="5"/>
  <c r="R34" i="5"/>
  <c r="R49" i="5"/>
  <c r="S49" i="5"/>
  <c r="R39" i="5"/>
  <c r="S39" i="5"/>
  <c r="S21" i="5"/>
  <c r="R21" i="5"/>
  <c r="S534" i="5"/>
  <c r="R534" i="5"/>
  <c r="S499" i="5"/>
  <c r="R499" i="5"/>
  <c r="S429" i="5"/>
  <c r="R429" i="5"/>
  <c r="R544" i="5"/>
  <c r="S544" i="5"/>
  <c r="S466" i="5"/>
  <c r="R466" i="5"/>
  <c r="R560" i="5"/>
  <c r="S560" i="5"/>
  <c r="S522" i="5"/>
  <c r="R522" i="5"/>
  <c r="S432" i="5"/>
  <c r="R432" i="5"/>
  <c r="S550" i="5"/>
  <c r="R550" i="5"/>
  <c r="R547" i="5"/>
  <c r="S547" i="5"/>
  <c r="S498" i="5"/>
  <c r="R498" i="5"/>
  <c r="S451" i="5"/>
  <c r="R451" i="5"/>
  <c r="R553" i="5"/>
  <c r="S553" i="5"/>
  <c r="R543" i="5"/>
  <c r="S543" i="5"/>
  <c r="S536" i="5"/>
  <c r="R536" i="5"/>
  <c r="R528" i="5"/>
  <c r="S528" i="5"/>
  <c r="S497" i="5"/>
  <c r="R497" i="5"/>
  <c r="S476" i="5"/>
  <c r="R476" i="5"/>
  <c r="S445" i="5"/>
  <c r="R445" i="5"/>
  <c r="S424" i="5"/>
  <c r="R424" i="5"/>
  <c r="S520" i="5"/>
  <c r="R520" i="5"/>
  <c r="S495" i="5"/>
  <c r="R495" i="5"/>
  <c r="S489" i="5"/>
  <c r="R489" i="5"/>
  <c r="S482" i="5"/>
  <c r="R482" i="5"/>
  <c r="S467" i="5"/>
  <c r="R467" i="5"/>
  <c r="S436" i="5"/>
  <c r="R436" i="5"/>
  <c r="S422" i="5"/>
  <c r="R422" i="5"/>
  <c r="S345" i="5"/>
  <c r="R345" i="5"/>
  <c r="R252" i="5"/>
  <c r="S252" i="5"/>
  <c r="S523" i="5"/>
  <c r="R523" i="5"/>
  <c r="S512" i="5"/>
  <c r="R512" i="5"/>
  <c r="S501" i="5"/>
  <c r="R501" i="5"/>
  <c r="S483" i="5"/>
  <c r="R483" i="5"/>
  <c r="S473" i="5"/>
  <c r="R473" i="5"/>
  <c r="S463" i="5"/>
  <c r="R463" i="5"/>
  <c r="S455" i="5"/>
  <c r="R455" i="5"/>
  <c r="R393" i="5"/>
  <c r="S393" i="5"/>
  <c r="R378" i="5"/>
  <c r="S378" i="5"/>
  <c r="S421" i="5"/>
  <c r="R421" i="5"/>
  <c r="S406" i="5"/>
  <c r="R406" i="5"/>
  <c r="S397" i="5"/>
  <c r="R397" i="5"/>
  <c r="S377" i="5"/>
  <c r="R377" i="5"/>
  <c r="S367" i="5"/>
  <c r="R367" i="5"/>
  <c r="R344" i="5"/>
  <c r="S344" i="5"/>
  <c r="R263" i="5"/>
  <c r="S263" i="5"/>
  <c r="S413" i="5"/>
  <c r="R413" i="5"/>
  <c r="R399" i="5"/>
  <c r="S399" i="5"/>
  <c r="S382" i="5"/>
  <c r="R382" i="5"/>
  <c r="S363" i="5"/>
  <c r="R363" i="5"/>
  <c r="S349" i="5"/>
  <c r="R349" i="5"/>
  <c r="R308" i="5"/>
  <c r="S308" i="5"/>
  <c r="R249" i="5"/>
  <c r="S249" i="5"/>
  <c r="S440" i="5"/>
  <c r="R440" i="5"/>
  <c r="S428" i="5"/>
  <c r="R428" i="5"/>
  <c r="S409" i="5"/>
  <c r="R409" i="5"/>
  <c r="S389" i="5"/>
  <c r="R389" i="5"/>
  <c r="S376" i="5"/>
  <c r="R376" i="5"/>
  <c r="S356" i="5"/>
  <c r="R356" i="5"/>
  <c r="R306" i="5"/>
  <c r="S306" i="5"/>
  <c r="R257" i="5"/>
  <c r="S257" i="5"/>
  <c r="S352" i="5"/>
  <c r="R352" i="5"/>
  <c r="S341" i="5"/>
  <c r="R341" i="5"/>
  <c r="S324" i="5"/>
  <c r="R324" i="5"/>
  <c r="R312" i="5"/>
  <c r="S312" i="5"/>
  <c r="S294" i="5"/>
  <c r="R294" i="5"/>
  <c r="R280" i="5"/>
  <c r="S280" i="5"/>
  <c r="S274" i="5"/>
  <c r="R274" i="5"/>
  <c r="S262" i="5"/>
  <c r="R262" i="5"/>
  <c r="R239" i="5"/>
  <c r="S239" i="5"/>
  <c r="R173" i="5"/>
  <c r="S173" i="5"/>
  <c r="S326" i="5"/>
  <c r="R326" i="5"/>
  <c r="R307" i="5"/>
  <c r="S307" i="5"/>
  <c r="R298" i="5"/>
  <c r="S298" i="5"/>
  <c r="R285" i="5"/>
  <c r="S285" i="5"/>
  <c r="S259" i="5"/>
  <c r="R259" i="5"/>
  <c r="R229" i="5"/>
  <c r="S229" i="5"/>
  <c r="R196" i="5"/>
  <c r="S196" i="5"/>
  <c r="S325" i="5"/>
  <c r="R325" i="5"/>
  <c r="S311" i="5"/>
  <c r="R311" i="5"/>
  <c r="R291" i="5"/>
  <c r="S291" i="5"/>
  <c r="R269" i="5"/>
  <c r="S269" i="5"/>
  <c r="R256" i="5"/>
  <c r="S256" i="5"/>
  <c r="R203" i="5"/>
  <c r="S203" i="5"/>
  <c r="S242" i="5"/>
  <c r="R242" i="5"/>
  <c r="R226" i="5"/>
  <c r="S226" i="5"/>
  <c r="S214" i="5"/>
  <c r="R214" i="5"/>
  <c r="R204" i="5"/>
  <c r="S204" i="5"/>
  <c r="R97" i="5"/>
  <c r="S97" i="5"/>
  <c r="S228" i="5"/>
  <c r="R228" i="5"/>
  <c r="R210" i="5"/>
  <c r="S210" i="5"/>
  <c r="R189" i="5"/>
  <c r="S189" i="5"/>
  <c r="S251" i="5"/>
  <c r="R251" i="5"/>
  <c r="S236" i="5"/>
  <c r="R236" i="5"/>
  <c r="R201" i="5"/>
  <c r="S201" i="5"/>
  <c r="R190" i="5"/>
  <c r="S190" i="5"/>
  <c r="R202" i="5"/>
  <c r="S202" i="5"/>
  <c r="R176" i="5"/>
  <c r="S176" i="5"/>
  <c r="R132" i="5"/>
  <c r="S132" i="5"/>
  <c r="R179" i="5"/>
  <c r="S179" i="5"/>
  <c r="R162" i="5"/>
  <c r="S162" i="5"/>
  <c r="S188" i="5"/>
  <c r="R188" i="5"/>
  <c r="S163" i="5"/>
  <c r="R163" i="5"/>
  <c r="S92" i="5"/>
  <c r="R92" i="5"/>
  <c r="S148" i="5"/>
  <c r="R148" i="5"/>
  <c r="R134" i="5"/>
  <c r="S134" i="5"/>
  <c r="S124" i="5"/>
  <c r="R124" i="5"/>
  <c r="S112" i="5"/>
  <c r="R112" i="5"/>
  <c r="R83" i="5"/>
  <c r="S83" i="5"/>
  <c r="S146" i="5"/>
  <c r="R146" i="5"/>
  <c r="S128" i="5"/>
  <c r="R128" i="5"/>
  <c r="R100" i="5"/>
  <c r="S100" i="5"/>
  <c r="R158" i="5"/>
  <c r="S158" i="5"/>
  <c r="R144" i="5"/>
  <c r="S144" i="5"/>
  <c r="R133" i="5"/>
  <c r="S133" i="5"/>
  <c r="R117" i="5"/>
  <c r="S117" i="5"/>
  <c r="S89" i="5"/>
  <c r="R89" i="5"/>
  <c r="S94" i="5"/>
  <c r="R94" i="5"/>
  <c r="S110" i="5"/>
  <c r="R110" i="5"/>
  <c r="R88" i="5"/>
  <c r="S88" i="5"/>
  <c r="R86" i="5"/>
  <c r="S86" i="5"/>
  <c r="R84" i="5"/>
  <c r="S84" i="5"/>
  <c r="R71" i="5"/>
  <c r="S71" i="5"/>
  <c r="S81" i="5"/>
  <c r="R81" i="5"/>
  <c r="R65" i="5"/>
  <c r="S65" i="5"/>
  <c r="R57" i="5"/>
  <c r="S57" i="5"/>
  <c r="R58" i="5"/>
  <c r="S58" i="5"/>
  <c r="R72" i="5"/>
  <c r="S72" i="5"/>
  <c r="R56" i="5"/>
  <c r="S56" i="5"/>
  <c r="S24" i="5"/>
  <c r="R24" i="5"/>
  <c r="S46" i="5"/>
  <c r="R46" i="5"/>
  <c r="S33" i="5"/>
  <c r="R33" i="5"/>
  <c r="S43" i="5"/>
  <c r="R43" i="5"/>
  <c r="S23" i="5"/>
  <c r="R23" i="5"/>
  <c r="S47" i="5"/>
  <c r="R47" i="5"/>
  <c r="S32" i="5"/>
  <c r="R32" i="5"/>
  <c r="R505" i="5"/>
  <c r="S505" i="5"/>
  <c r="S513" i="5"/>
  <c r="R513" i="5"/>
  <c r="S364" i="5"/>
  <c r="R364" i="5"/>
  <c r="S478" i="5"/>
  <c r="R478" i="5"/>
  <c r="S529" i="5"/>
  <c r="R529" i="5"/>
  <c r="S426" i="5"/>
  <c r="R426" i="5"/>
  <c r="S490" i="5"/>
  <c r="R490" i="5"/>
  <c r="S425" i="5"/>
  <c r="R425" i="5"/>
  <c r="S524" i="5"/>
  <c r="R524" i="5"/>
  <c r="S474" i="5"/>
  <c r="R474" i="5"/>
  <c r="S433" i="5"/>
  <c r="R433" i="5"/>
  <c r="S398" i="5"/>
  <c r="R398" i="5"/>
  <c r="S347" i="5"/>
  <c r="R347" i="5"/>
  <c r="S383" i="5"/>
  <c r="R383" i="5"/>
  <c r="R314" i="5"/>
  <c r="S314" i="5"/>
  <c r="S411" i="5"/>
  <c r="R411" i="5"/>
  <c r="S332" i="5"/>
  <c r="R332" i="5"/>
  <c r="R297" i="5"/>
  <c r="S297" i="5"/>
  <c r="S19" i="5"/>
  <c r="R19" i="5"/>
  <c r="S531" i="5"/>
  <c r="R531" i="5"/>
  <c r="S472" i="5"/>
  <c r="R472" i="5"/>
  <c r="S427" i="5"/>
  <c r="R427" i="5"/>
  <c r="S533" i="5"/>
  <c r="R533" i="5"/>
  <c r="S459" i="5"/>
  <c r="R459" i="5"/>
  <c r="R558" i="5"/>
  <c r="S558" i="5"/>
  <c r="R507" i="5"/>
  <c r="S507" i="5"/>
  <c r="S430" i="5"/>
  <c r="R430" i="5"/>
  <c r="R555" i="5"/>
  <c r="S555" i="5"/>
  <c r="S532" i="5"/>
  <c r="R532" i="5"/>
  <c r="S491" i="5"/>
  <c r="R491" i="5"/>
  <c r="S447" i="5"/>
  <c r="R447" i="5"/>
  <c r="R548" i="5"/>
  <c r="S548" i="5"/>
  <c r="R542" i="5"/>
  <c r="S542" i="5"/>
  <c r="S535" i="5"/>
  <c r="R535" i="5"/>
  <c r="S518" i="5"/>
  <c r="R518" i="5"/>
  <c r="S494" i="5"/>
  <c r="R494" i="5"/>
  <c r="S465" i="5"/>
  <c r="R465" i="5"/>
  <c r="S444" i="5"/>
  <c r="R444" i="5"/>
  <c r="S362" i="5"/>
  <c r="R362" i="5"/>
  <c r="S514" i="5"/>
  <c r="R514" i="5"/>
  <c r="S493" i="5"/>
  <c r="R493" i="5"/>
  <c r="S488" i="5"/>
  <c r="R488" i="5"/>
  <c r="S477" i="5"/>
  <c r="R477" i="5"/>
  <c r="S457" i="5"/>
  <c r="R457" i="5"/>
  <c r="S435" i="5"/>
  <c r="R435" i="5"/>
  <c r="S420" i="5"/>
  <c r="R420" i="5"/>
  <c r="R337" i="5"/>
  <c r="S337" i="5"/>
  <c r="S527" i="5"/>
  <c r="R527" i="5"/>
  <c r="S521" i="5"/>
  <c r="R521" i="5"/>
  <c r="S511" i="5"/>
  <c r="R511" i="5"/>
  <c r="S500" i="5"/>
  <c r="R500" i="5"/>
  <c r="S480" i="5"/>
  <c r="R480" i="5"/>
  <c r="S471" i="5"/>
  <c r="R471" i="5"/>
  <c r="S462" i="5"/>
  <c r="R462" i="5"/>
  <c r="S454" i="5"/>
  <c r="R454" i="5"/>
  <c r="S390" i="5"/>
  <c r="R390" i="5"/>
  <c r="R366" i="5"/>
  <c r="S366" i="5"/>
  <c r="S416" i="5"/>
  <c r="R416" i="5"/>
  <c r="S405" i="5"/>
  <c r="R405" i="5"/>
  <c r="S395" i="5"/>
  <c r="R395" i="5"/>
  <c r="S374" i="5"/>
  <c r="R374" i="5"/>
  <c r="R358" i="5"/>
  <c r="S358" i="5"/>
  <c r="S338" i="5"/>
  <c r="R338" i="5"/>
  <c r="S419" i="5"/>
  <c r="R419" i="5"/>
  <c r="S408" i="5"/>
  <c r="R408" i="5"/>
  <c r="S392" i="5"/>
  <c r="R392" i="5"/>
  <c r="S379" i="5"/>
  <c r="R379" i="5"/>
  <c r="S361" i="5"/>
  <c r="R361" i="5"/>
  <c r="S343" i="5"/>
  <c r="R343" i="5"/>
  <c r="R282" i="5"/>
  <c r="S282" i="5"/>
  <c r="R245" i="5"/>
  <c r="S245" i="5"/>
  <c r="S439" i="5"/>
  <c r="R439" i="5"/>
  <c r="S423" i="5"/>
  <c r="R423" i="5"/>
  <c r="S407" i="5"/>
  <c r="R407" i="5"/>
  <c r="S386" i="5"/>
  <c r="R386" i="5"/>
  <c r="S375" i="5"/>
  <c r="R375" i="5"/>
  <c r="S355" i="5"/>
  <c r="R355" i="5"/>
  <c r="S295" i="5"/>
  <c r="R295" i="5"/>
  <c r="R254" i="5"/>
  <c r="S254" i="5"/>
  <c r="S350" i="5"/>
  <c r="R350" i="5"/>
  <c r="S339" i="5"/>
  <c r="R339" i="5"/>
  <c r="R319" i="5"/>
  <c r="S319" i="5"/>
  <c r="S309" i="5"/>
  <c r="R309" i="5"/>
  <c r="R287" i="5"/>
  <c r="S287" i="5"/>
  <c r="R278" i="5"/>
  <c r="S278" i="5"/>
  <c r="R272" i="5"/>
  <c r="S272" i="5"/>
  <c r="S260" i="5"/>
  <c r="R260" i="5"/>
  <c r="R223" i="5"/>
  <c r="S223" i="5"/>
  <c r="R167" i="5"/>
  <c r="S167" i="5"/>
  <c r="R321" i="5"/>
  <c r="S321" i="5"/>
  <c r="R305" i="5"/>
  <c r="S305" i="5"/>
  <c r="R296" i="5"/>
  <c r="S296" i="5"/>
  <c r="R281" i="5"/>
  <c r="S281" i="5"/>
  <c r="R255" i="5"/>
  <c r="S255" i="5"/>
  <c r="S218" i="5"/>
  <c r="R218" i="5"/>
  <c r="S333" i="5"/>
  <c r="R333" i="5"/>
  <c r="S323" i="5"/>
  <c r="R323" i="5"/>
  <c r="S302" i="5"/>
  <c r="R302" i="5"/>
  <c r="S288" i="5"/>
  <c r="R288" i="5"/>
  <c r="S266" i="5"/>
  <c r="R266" i="5"/>
  <c r="R246" i="5"/>
  <c r="S246" i="5"/>
  <c r="R187" i="5"/>
  <c r="S187" i="5"/>
  <c r="S237" i="5"/>
  <c r="R237" i="5"/>
  <c r="R224" i="5"/>
  <c r="S224" i="5"/>
  <c r="R209" i="5"/>
  <c r="S209" i="5"/>
  <c r="S195" i="5"/>
  <c r="R195" i="5"/>
  <c r="S240" i="5"/>
  <c r="R240" i="5"/>
  <c r="R225" i="5"/>
  <c r="S225" i="5"/>
  <c r="R194" i="5"/>
  <c r="S194" i="5"/>
  <c r="R186" i="5"/>
  <c r="S186" i="5"/>
  <c r="R250" i="5"/>
  <c r="S250" i="5"/>
  <c r="R235" i="5"/>
  <c r="S235" i="5"/>
  <c r="R199" i="5"/>
  <c r="S199" i="5"/>
  <c r="R181" i="5"/>
  <c r="S181" i="5"/>
  <c r="S200" i="5"/>
  <c r="R200" i="5"/>
  <c r="S170" i="5"/>
  <c r="R170" i="5"/>
  <c r="R185" i="5"/>
  <c r="S185" i="5"/>
  <c r="R175" i="5"/>
  <c r="S175" i="5"/>
  <c r="R161" i="5"/>
  <c r="S161" i="5"/>
  <c r="S184" i="5"/>
  <c r="R184" i="5"/>
  <c r="R152" i="5"/>
  <c r="S152" i="5"/>
  <c r="S156" i="5"/>
  <c r="R156" i="5"/>
  <c r="R147" i="5"/>
  <c r="S147" i="5"/>
  <c r="R129" i="5"/>
  <c r="S129" i="5"/>
  <c r="R121" i="5"/>
  <c r="S121" i="5"/>
  <c r="S105" i="5"/>
  <c r="R105" i="5"/>
  <c r="R159" i="5"/>
  <c r="S159" i="5"/>
  <c r="R143" i="5"/>
  <c r="S143" i="5"/>
  <c r="R125" i="5"/>
  <c r="S125" i="5"/>
  <c r="S98" i="5"/>
  <c r="R98" i="5"/>
  <c r="S154" i="5"/>
  <c r="R154" i="5"/>
  <c r="R142" i="5"/>
  <c r="S142" i="5"/>
  <c r="R131" i="5"/>
  <c r="S131" i="5"/>
  <c r="R116" i="5"/>
  <c r="S116" i="5"/>
  <c r="R109" i="5"/>
  <c r="S109" i="5"/>
  <c r="R82" i="5"/>
  <c r="S82" i="5"/>
  <c r="S104" i="5"/>
  <c r="R104" i="5"/>
  <c r="R87" i="5"/>
  <c r="S87" i="5"/>
  <c r="R80" i="5"/>
  <c r="S80" i="5"/>
  <c r="R79" i="5"/>
  <c r="S79" i="5"/>
  <c r="R73" i="5"/>
  <c r="S73" i="5"/>
  <c r="R78" i="5"/>
  <c r="S78" i="5"/>
  <c r="R69" i="5"/>
  <c r="S69" i="5"/>
  <c r="S66" i="5"/>
  <c r="R66" i="5"/>
  <c r="R55" i="5"/>
  <c r="S55" i="5"/>
  <c r="R67" i="5"/>
  <c r="S67" i="5"/>
  <c r="S51" i="5"/>
  <c r="R51" i="5"/>
  <c r="R41" i="5"/>
  <c r="S41" i="5"/>
  <c r="R30" i="5"/>
  <c r="S30" i="5"/>
  <c r="S40" i="5"/>
  <c r="R40" i="5"/>
  <c r="R22" i="5"/>
  <c r="S22" i="5"/>
  <c r="R45" i="5"/>
  <c r="S45" i="5"/>
  <c r="S31" i="5"/>
  <c r="R31" i="5"/>
  <c r="S448" i="5"/>
  <c r="R448" i="5"/>
  <c r="R538" i="5"/>
  <c r="S538" i="5"/>
  <c r="R551" i="5"/>
  <c r="S551" i="5"/>
  <c r="R545" i="5"/>
  <c r="S545" i="5"/>
  <c r="S502" i="5"/>
  <c r="R502" i="5"/>
  <c r="S197" i="5"/>
  <c r="R197" i="5"/>
  <c r="S486" i="5"/>
  <c r="R486" i="5"/>
  <c r="S369" i="5"/>
  <c r="R369" i="5"/>
  <c r="S517" i="5"/>
  <c r="R517" i="5"/>
  <c r="S464" i="5"/>
  <c r="R464" i="5"/>
  <c r="S381" i="5"/>
  <c r="R381" i="5"/>
  <c r="S384" i="5"/>
  <c r="R384" i="5"/>
  <c r="R322" i="5"/>
  <c r="S322" i="5"/>
  <c r="S365" i="5"/>
  <c r="R365" i="5"/>
  <c r="R270" i="5"/>
  <c r="S270" i="5"/>
  <c r="S391" i="5"/>
  <c r="R391" i="5"/>
  <c r="R273" i="5"/>
  <c r="S273" i="5"/>
  <c r="R275" i="5"/>
  <c r="S275" i="5"/>
  <c r="R540" i="5"/>
  <c r="S540" i="5"/>
  <c r="S516" i="5"/>
  <c r="R516" i="5"/>
  <c r="S458" i="5"/>
  <c r="R458" i="5"/>
  <c r="R403" i="5"/>
  <c r="S403" i="5"/>
  <c r="S525" i="5"/>
  <c r="R525" i="5"/>
  <c r="R557" i="5"/>
  <c r="S557" i="5"/>
  <c r="R549" i="5"/>
  <c r="S549" i="5"/>
  <c r="S460" i="5"/>
  <c r="R460" i="5"/>
  <c r="S400" i="5"/>
  <c r="R400" i="5"/>
  <c r="R552" i="5"/>
  <c r="S552" i="5"/>
  <c r="S515" i="5"/>
  <c r="R515" i="5"/>
  <c r="S481" i="5"/>
  <c r="R481" i="5"/>
  <c r="R268" i="5"/>
  <c r="S268" i="5"/>
  <c r="R546" i="5"/>
  <c r="S546" i="5"/>
  <c r="R541" i="5"/>
  <c r="S541" i="5"/>
  <c r="S530" i="5"/>
  <c r="R530" i="5"/>
  <c r="S509" i="5"/>
  <c r="R509" i="5"/>
  <c r="S484" i="5"/>
  <c r="R484" i="5"/>
  <c r="S450" i="5"/>
  <c r="R450" i="5"/>
  <c r="S437" i="5"/>
  <c r="R437" i="5"/>
  <c r="R342" i="5"/>
  <c r="S342" i="5"/>
  <c r="S510" i="5"/>
  <c r="R510" i="5"/>
  <c r="S492" i="5"/>
  <c r="R492" i="5"/>
  <c r="S487" i="5"/>
  <c r="R487" i="5"/>
  <c r="S470" i="5"/>
  <c r="R470" i="5"/>
  <c r="S452" i="5"/>
  <c r="R452" i="5"/>
  <c r="S434" i="5"/>
  <c r="R434" i="5"/>
  <c r="S410" i="5"/>
  <c r="R410" i="5"/>
  <c r="S335" i="5"/>
  <c r="R335" i="5"/>
  <c r="S526" i="5"/>
  <c r="R526" i="5"/>
  <c r="S519" i="5"/>
  <c r="R519" i="5"/>
  <c r="S504" i="5"/>
  <c r="R504" i="5"/>
  <c r="S496" i="5"/>
  <c r="R496" i="5"/>
  <c r="S475" i="5"/>
  <c r="R475" i="5"/>
  <c r="S468" i="5"/>
  <c r="R468" i="5"/>
  <c r="S461" i="5"/>
  <c r="R461" i="5"/>
  <c r="R453" i="5"/>
  <c r="S453" i="5"/>
  <c r="S387" i="5"/>
  <c r="R387" i="5"/>
  <c r="S359" i="5"/>
  <c r="R359" i="5"/>
  <c r="S415" i="5"/>
  <c r="R415" i="5"/>
  <c r="S401" i="5"/>
  <c r="R401" i="5"/>
  <c r="S394" i="5"/>
  <c r="R394" i="5"/>
  <c r="R370" i="5"/>
  <c r="S370" i="5"/>
  <c r="S351" i="5"/>
  <c r="R351" i="5"/>
  <c r="S327" i="5"/>
  <c r="R327" i="5"/>
  <c r="S417" i="5"/>
  <c r="R417" i="5"/>
  <c r="S404" i="5"/>
  <c r="R404" i="5"/>
  <c r="S388" i="5"/>
  <c r="R388" i="5"/>
  <c r="R373" i="5"/>
  <c r="S373" i="5"/>
  <c r="S354" i="5"/>
  <c r="R354" i="5"/>
  <c r="S340" i="5"/>
  <c r="R340" i="5"/>
  <c r="R279" i="5"/>
  <c r="S279" i="5"/>
  <c r="S442" i="5"/>
  <c r="R442" i="5"/>
  <c r="S438" i="5"/>
  <c r="R438" i="5"/>
  <c r="S418" i="5"/>
  <c r="R418" i="5"/>
  <c r="S396" i="5"/>
  <c r="R396" i="5"/>
  <c r="S385" i="5"/>
  <c r="R385" i="5"/>
  <c r="S372" i="5"/>
  <c r="R372" i="5"/>
  <c r="S334" i="5"/>
  <c r="R334" i="5"/>
  <c r="S289" i="5"/>
  <c r="R289" i="5"/>
  <c r="R360" i="5"/>
  <c r="S360" i="5"/>
  <c r="S348" i="5"/>
  <c r="R348" i="5"/>
  <c r="S336" i="5"/>
  <c r="R336" i="5"/>
  <c r="R317" i="5"/>
  <c r="S317" i="5"/>
  <c r="S304" i="5"/>
  <c r="R304" i="5"/>
  <c r="S286" i="5"/>
  <c r="R286" i="5"/>
  <c r="S277" i="5"/>
  <c r="R277" i="5"/>
  <c r="R267" i="5"/>
  <c r="S267" i="5"/>
  <c r="R248" i="5"/>
  <c r="S248" i="5"/>
  <c r="R220" i="5"/>
  <c r="S220" i="5"/>
  <c r="S141" i="5"/>
  <c r="R141" i="5"/>
  <c r="S320" i="5"/>
  <c r="R320" i="5"/>
  <c r="R303" i="5"/>
  <c r="S303" i="5"/>
  <c r="S293" i="5"/>
  <c r="R293" i="5"/>
  <c r="R271" i="5"/>
  <c r="S271" i="5"/>
  <c r="R253" i="5"/>
  <c r="S253" i="5"/>
  <c r="S215" i="5"/>
  <c r="R215" i="5"/>
  <c r="R331" i="5"/>
  <c r="S331" i="5"/>
  <c r="R316" i="5"/>
  <c r="S316" i="5"/>
  <c r="R299" i="5"/>
  <c r="S299" i="5"/>
  <c r="R284" i="5"/>
  <c r="S284" i="5"/>
  <c r="S264" i="5"/>
  <c r="R264" i="5"/>
  <c r="S227" i="5"/>
  <c r="R227" i="5"/>
  <c r="R101" i="5"/>
  <c r="S101" i="5"/>
  <c r="S234" i="5"/>
  <c r="R234" i="5"/>
  <c r="S222" i="5"/>
  <c r="R222" i="5"/>
  <c r="S206" i="5"/>
  <c r="R206" i="5"/>
  <c r="R171" i="5"/>
  <c r="S171" i="5"/>
  <c r="S233" i="5"/>
  <c r="R233" i="5"/>
  <c r="R221" i="5"/>
  <c r="S221" i="5"/>
  <c r="S192" i="5"/>
  <c r="R192" i="5"/>
  <c r="R177" i="5"/>
  <c r="S177" i="5"/>
  <c r="R241" i="5"/>
  <c r="S241" i="5"/>
  <c r="S232" i="5"/>
  <c r="R232" i="5"/>
  <c r="R198" i="5"/>
  <c r="S198" i="5"/>
  <c r="R208" i="5"/>
  <c r="S208" i="5"/>
  <c r="S182" i="5"/>
  <c r="R182" i="5"/>
  <c r="S168" i="5"/>
  <c r="R168" i="5"/>
  <c r="R183" i="5"/>
  <c r="S183" i="5"/>
  <c r="S172" i="5"/>
  <c r="R172" i="5"/>
  <c r="R145" i="5"/>
  <c r="S145" i="5"/>
  <c r="R174" i="5"/>
  <c r="S174" i="5"/>
  <c r="S122" i="5"/>
  <c r="R122" i="5"/>
  <c r="R155" i="5"/>
  <c r="S155" i="5"/>
  <c r="R139" i="5"/>
  <c r="S139" i="5"/>
  <c r="S127" i="5"/>
  <c r="R127" i="5"/>
  <c r="R118" i="5"/>
  <c r="S118" i="5"/>
  <c r="R102" i="5"/>
  <c r="S102" i="5"/>
  <c r="R157" i="5"/>
  <c r="S157" i="5"/>
  <c r="R140" i="5"/>
  <c r="S140" i="5"/>
  <c r="R120" i="5"/>
  <c r="S120" i="5"/>
  <c r="R53" i="5"/>
  <c r="S53" i="5"/>
  <c r="R153" i="5"/>
  <c r="S153" i="5"/>
  <c r="R137" i="5"/>
  <c r="S137" i="5"/>
  <c r="S123" i="5"/>
  <c r="R123" i="5"/>
  <c r="R108" i="5"/>
  <c r="S108" i="5"/>
  <c r="R106" i="5"/>
  <c r="S106" i="5"/>
  <c r="S44" i="5"/>
  <c r="R44" i="5"/>
  <c r="S93" i="5"/>
  <c r="R93" i="5"/>
  <c r="S85" i="5"/>
  <c r="R85" i="5"/>
  <c r="S76" i="5"/>
  <c r="R76" i="5"/>
  <c r="S77" i="5"/>
  <c r="R77" i="5"/>
  <c r="R64" i="5"/>
  <c r="S64" i="5"/>
  <c r="S74" i="5"/>
  <c r="R74" i="5"/>
  <c r="S68" i="5"/>
  <c r="R68" i="5"/>
  <c r="S63" i="5"/>
  <c r="R63" i="5"/>
  <c r="R54" i="5"/>
  <c r="S54" i="5"/>
  <c r="R62" i="5"/>
  <c r="S62" i="5"/>
  <c r="R48" i="5"/>
  <c r="S48" i="5"/>
  <c r="R52" i="5"/>
  <c r="S52" i="5"/>
  <c r="R37" i="5"/>
  <c r="S37" i="5"/>
  <c r="S29" i="5"/>
  <c r="R29" i="5"/>
  <c r="R36" i="5"/>
  <c r="S36" i="5"/>
  <c r="S20" i="5"/>
  <c r="R20" i="5"/>
  <c r="R42" i="5"/>
  <c r="S42" i="5"/>
  <c r="S26" i="5"/>
  <c r="R26" i="5"/>
  <c r="AP479" i="5" l="1"/>
  <c r="AP222" i="5"/>
  <c r="AP71" i="5"/>
  <c r="AP204" i="5"/>
  <c r="AH449" i="5"/>
  <c r="AP341" i="5"/>
  <c r="AP542" i="5"/>
  <c r="BI542" i="5" s="1"/>
  <c r="AN43" i="4"/>
  <c r="AN75" i="4"/>
  <c r="AN107" i="4"/>
  <c r="AN139" i="4"/>
  <c r="AN82" i="4"/>
  <c r="AN154" i="4"/>
  <c r="AN79" i="4"/>
  <c r="AN143" i="4"/>
  <c r="AN20" i="4"/>
  <c r="AN64" i="4"/>
  <c r="AN114" i="4"/>
  <c r="AN19" i="4"/>
  <c r="AN152" i="4"/>
  <c r="AN78" i="4"/>
  <c r="AN21" i="4"/>
  <c r="AN96" i="4"/>
  <c r="AN41" i="4"/>
  <c r="AN74" i="4"/>
  <c r="AN59" i="4"/>
  <c r="AN91" i="4"/>
  <c r="AN123" i="4"/>
  <c r="AN155" i="4"/>
  <c r="AN60" i="4"/>
  <c r="AN146" i="4"/>
  <c r="AN40" i="4"/>
  <c r="AN16" i="4"/>
  <c r="AN90" i="4"/>
  <c r="AN63" i="4"/>
  <c r="AN110" i="4"/>
  <c r="AN12" i="4"/>
  <c r="AN128" i="4"/>
  <c r="AN54" i="4"/>
  <c r="AN145" i="4"/>
  <c r="AN27" i="4"/>
  <c r="AN72" i="4"/>
  <c r="AN13" i="4"/>
  <c r="AN92" i="4"/>
  <c r="AN85" i="4"/>
  <c r="AN14" i="4"/>
  <c r="AN122" i="4"/>
  <c r="AN32" i="4"/>
  <c r="AN89" i="4"/>
  <c r="AN121" i="4"/>
  <c r="AN86" i="4"/>
  <c r="AN24" i="4"/>
  <c r="AP538" i="5"/>
  <c r="AP539" i="5"/>
  <c r="AP402" i="5"/>
  <c r="BI402" i="5" s="1"/>
  <c r="AI440" i="5"/>
  <c r="AH340" i="5"/>
  <c r="AI342" i="5"/>
  <c r="AI192" i="5"/>
  <c r="AI351" i="5"/>
  <c r="AP342" i="5"/>
  <c r="AI184" i="5"/>
  <c r="AI164" i="5"/>
  <c r="AP139" i="5"/>
  <c r="AP85" i="5"/>
  <c r="AP434" i="5"/>
  <c r="BI434" i="5" s="1"/>
  <c r="AH155" i="5"/>
  <c r="AH525" i="5"/>
  <c r="AI270" i="5"/>
  <c r="AI279" i="5"/>
  <c r="AI112" i="5"/>
  <c r="AH535" i="5"/>
  <c r="AP467" i="5"/>
  <c r="AP155" i="5"/>
  <c r="AR155" i="5" s="1"/>
  <c r="AP279" i="5"/>
  <c r="AQ279" i="5" s="1"/>
  <c r="AP473" i="5"/>
  <c r="AI409" i="5"/>
  <c r="AI58" i="5"/>
  <c r="AP99" i="5"/>
  <c r="BI99" i="5" s="1"/>
  <c r="AP351" i="5"/>
  <c r="BI351" i="5" s="1"/>
  <c r="AP192" i="5"/>
  <c r="BI192" i="5" s="1"/>
  <c r="AH99" i="5"/>
  <c r="AH403" i="5"/>
  <c r="AI85" i="5"/>
  <c r="AH301" i="5"/>
  <c r="AH485" i="5"/>
  <c r="AI91" i="5"/>
  <c r="AI136" i="5"/>
  <c r="AP184" i="5"/>
  <c r="AP416" i="5"/>
  <c r="BI416" i="5" s="1"/>
  <c r="AP321" i="5"/>
  <c r="AQ321" i="5" s="1"/>
  <c r="AI434" i="5"/>
  <c r="AP164" i="5"/>
  <c r="BI164" i="5" s="1"/>
  <c r="AP48" i="5"/>
  <c r="AR48" i="5" s="1"/>
  <c r="AP525" i="5"/>
  <c r="AQ525" i="5" s="1"/>
  <c r="AP270" i="5"/>
  <c r="BI270" i="5" s="1"/>
  <c r="AI53" i="5"/>
  <c r="AH139" i="5"/>
  <c r="AH389" i="5"/>
  <c r="AI48" i="5"/>
  <c r="AH473" i="5"/>
  <c r="AI416" i="5"/>
  <c r="AP112" i="5"/>
  <c r="BI112" i="5" s="1"/>
  <c r="AH467" i="5"/>
  <c r="AH439" i="5"/>
  <c r="AI475" i="5"/>
  <c r="AI513" i="5"/>
  <c r="AP439" i="5"/>
  <c r="BI439" i="5" s="1"/>
  <c r="AP388" i="5"/>
  <c r="AP340" i="5"/>
  <c r="AQ340" i="5" s="1"/>
  <c r="AP513" i="5"/>
  <c r="AR513" i="5" s="1"/>
  <c r="AI503" i="5"/>
  <c r="AH177" i="5"/>
  <c r="AI466" i="5"/>
  <c r="AH321" i="5"/>
  <c r="AP313" i="5"/>
  <c r="BI313" i="5" s="1"/>
  <c r="AP354" i="5"/>
  <c r="BI354" i="5" s="1"/>
  <c r="AP58" i="5"/>
  <c r="AQ58" i="5" s="1"/>
  <c r="AH313" i="5"/>
  <c r="AP503" i="5"/>
  <c r="AQ503" i="5" s="1"/>
  <c r="AP177" i="5"/>
  <c r="AP403" i="5"/>
  <c r="BI403" i="5" s="1"/>
  <c r="AP91" i="5"/>
  <c r="AR91" i="5" s="1"/>
  <c r="AP535" i="5"/>
  <c r="AP53" i="5"/>
  <c r="AP301" i="5"/>
  <c r="AQ301" i="5" s="1"/>
  <c r="AP409" i="5"/>
  <c r="AQ409" i="5" s="1"/>
  <c r="AH421" i="5"/>
  <c r="AH527" i="5"/>
  <c r="AP260" i="5"/>
  <c r="BI260" i="5" s="1"/>
  <c r="AP299" i="5"/>
  <c r="BI299" i="5" s="1"/>
  <c r="AP518" i="5"/>
  <c r="BI518" i="5" s="1"/>
  <c r="AP219" i="5"/>
  <c r="AP25" i="5"/>
  <c r="BI25" i="5" s="1"/>
  <c r="AI329" i="5"/>
  <c r="AH496" i="5"/>
  <c r="AP440" i="5"/>
  <c r="AP520" i="5"/>
  <c r="BI520" i="5" s="1"/>
  <c r="AI302" i="5"/>
  <c r="AP307" i="5"/>
  <c r="BI307" i="5" s="1"/>
  <c r="AP496" i="5"/>
  <c r="BI496" i="5" s="1"/>
  <c r="AP505" i="5"/>
  <c r="BI505" i="5" s="1"/>
  <c r="AP493" i="5"/>
  <c r="BI493" i="5" s="1"/>
  <c r="AP113" i="5"/>
  <c r="AQ113" i="5" s="1"/>
  <c r="AP40" i="5"/>
  <c r="AQ40" i="5" s="1"/>
  <c r="AP250" i="5"/>
  <c r="AQ250" i="5" s="1"/>
  <c r="AH338" i="5"/>
  <c r="AH558" i="5"/>
  <c r="AP326" i="5"/>
  <c r="AN148" i="4"/>
  <c r="AN106" i="4"/>
  <c r="AN18" i="4"/>
  <c r="AN70" i="4"/>
  <c r="AN38" i="4"/>
  <c r="AN23" i="4"/>
  <c r="AP195" i="5"/>
  <c r="BI195" i="5" s="1"/>
  <c r="AH378" i="5"/>
  <c r="AI252" i="5"/>
  <c r="AN153" i="4"/>
  <c r="AN52" i="4"/>
  <c r="AN22" i="4"/>
  <c r="AN37" i="4"/>
  <c r="AN8" i="4"/>
  <c r="AN61" i="4"/>
  <c r="AN120" i="4"/>
  <c r="AN140" i="4"/>
  <c r="AN97" i="4"/>
  <c r="AN129" i="4"/>
  <c r="AN11" i="4"/>
  <c r="AH431" i="5"/>
  <c r="AH13" i="5"/>
  <c r="AN51" i="4"/>
  <c r="AN115" i="4"/>
  <c r="AN147" i="4"/>
  <c r="AN33" i="4"/>
  <c r="AN133" i="4"/>
  <c r="AN100" i="4"/>
  <c r="AN55" i="4"/>
  <c r="AN44" i="4"/>
  <c r="AI27" i="5"/>
  <c r="AH50" i="5"/>
  <c r="AH195" i="5"/>
  <c r="AP311" i="5"/>
  <c r="AR311" i="5" s="1"/>
  <c r="AP526" i="5"/>
  <c r="AI129" i="5"/>
  <c r="AH121" i="5"/>
  <c r="AP148" i="5"/>
  <c r="BI148" i="5" s="1"/>
  <c r="AP8" i="5"/>
  <c r="BI8" i="5" s="1"/>
  <c r="AN105" i="4"/>
  <c r="AN150" i="4"/>
  <c r="AP430" i="5"/>
  <c r="BI430" i="5" s="1"/>
  <c r="AI208" i="5"/>
  <c r="AH533" i="5"/>
  <c r="AI109" i="5"/>
  <c r="AP296" i="5"/>
  <c r="AQ296" i="5" s="1"/>
  <c r="AP285" i="5"/>
  <c r="AP256" i="5"/>
  <c r="AP273" i="5"/>
  <c r="BI273" i="5" s="1"/>
  <c r="AP266" i="5"/>
  <c r="AR266" i="5" s="1"/>
  <c r="AP558" i="5"/>
  <c r="AQ558" i="5" s="1"/>
  <c r="AI110" i="5"/>
  <c r="AI256" i="5"/>
  <c r="AI445" i="5"/>
  <c r="AI125" i="5"/>
  <c r="AI266" i="5"/>
  <c r="AP244" i="5"/>
  <c r="BI244" i="5" s="1"/>
  <c r="AP104" i="5"/>
  <c r="BI104" i="5" s="1"/>
  <c r="AP428" i="5"/>
  <c r="AP109" i="5"/>
  <c r="AP65" i="5"/>
  <c r="BI65" i="5" s="1"/>
  <c r="AH285" i="5"/>
  <c r="AH384" i="5"/>
  <c r="AI508" i="5"/>
  <c r="AP125" i="5"/>
  <c r="BI125" i="5" s="1"/>
  <c r="AI160" i="5"/>
  <c r="AH494" i="5"/>
  <c r="AP504" i="5"/>
  <c r="AP280" i="5"/>
  <c r="BI280" i="5" s="1"/>
  <c r="AP169" i="5"/>
  <c r="AQ169" i="5" s="1"/>
  <c r="AP110" i="5"/>
  <c r="AP445" i="5"/>
  <c r="AP116" i="5"/>
  <c r="BI116" i="5" s="1"/>
  <c r="AP384" i="5"/>
  <c r="AQ384" i="5" s="1"/>
  <c r="AP121" i="5"/>
  <c r="AQ121" i="5" s="1"/>
  <c r="AP429" i="5"/>
  <c r="AQ429" i="5" s="1"/>
  <c r="AP182" i="5"/>
  <c r="AQ182" i="5" s="1"/>
  <c r="AH430" i="5"/>
  <c r="AI225" i="5"/>
  <c r="AP495" i="5"/>
  <c r="AQ495" i="5" s="1"/>
  <c r="AP501" i="5"/>
  <c r="AR501" i="5" s="1"/>
  <c r="AP214" i="5"/>
  <c r="AQ214" i="5" s="1"/>
  <c r="AP258" i="5"/>
  <c r="AN26" i="4"/>
  <c r="AN116" i="4"/>
  <c r="AN36" i="4"/>
  <c r="AP289" i="5"/>
  <c r="BI289" i="5" s="1"/>
  <c r="AI75" i="5"/>
  <c r="AI175" i="5"/>
  <c r="AI385" i="5"/>
  <c r="AI103" i="5"/>
  <c r="AI414" i="5"/>
  <c r="AI113" i="5"/>
  <c r="AH88" i="5"/>
  <c r="AH213" i="5"/>
  <c r="AH80" i="5"/>
  <c r="AI267" i="5"/>
  <c r="AH209" i="5"/>
  <c r="AI278" i="5"/>
  <c r="AH229" i="5"/>
  <c r="AH433" i="5"/>
  <c r="AH32" i="5"/>
  <c r="AI323" i="5"/>
  <c r="AH297" i="5"/>
  <c r="AH386" i="5"/>
  <c r="AI96" i="5"/>
  <c r="AH133" i="5"/>
  <c r="AH350" i="5"/>
  <c r="AH453" i="5"/>
  <c r="AI391" i="5"/>
  <c r="AI189" i="5"/>
  <c r="AI407" i="5"/>
  <c r="AH137" i="5"/>
  <c r="AH79" i="5"/>
  <c r="AH232" i="5"/>
  <c r="AI463" i="5"/>
  <c r="AP69" i="5"/>
  <c r="BI69" i="5" s="1"/>
  <c r="AH69" i="5"/>
  <c r="AI316" i="5"/>
  <c r="AI39" i="5"/>
  <c r="AH249" i="5"/>
  <c r="AH505" i="5"/>
  <c r="AI35" i="5"/>
  <c r="AI71" i="5"/>
  <c r="AI57" i="5"/>
  <c r="AI61" i="5"/>
  <c r="AI49" i="5"/>
  <c r="AH263" i="5"/>
  <c r="AH293" i="5"/>
  <c r="AH454" i="5"/>
  <c r="AI181" i="5"/>
  <c r="AI274" i="5"/>
  <c r="AH411" i="5"/>
  <c r="AH312" i="5"/>
  <c r="AI393" i="5"/>
  <c r="AH221" i="5"/>
  <c r="AH519" i="5"/>
  <c r="AP451" i="5"/>
  <c r="AR451" i="5" s="1"/>
  <c r="AP75" i="5"/>
  <c r="AR75" i="5" s="1"/>
  <c r="AP267" i="5"/>
  <c r="AQ267" i="5" s="1"/>
  <c r="AP72" i="5"/>
  <c r="BI72" i="5" s="1"/>
  <c r="AP88" i="5"/>
  <c r="BI88" i="5" s="1"/>
  <c r="AP79" i="5"/>
  <c r="AP35" i="5"/>
  <c r="AP157" i="5"/>
  <c r="BI157" i="5" s="1"/>
  <c r="AP221" i="5"/>
  <c r="BI221" i="5" s="1"/>
  <c r="AP149" i="5"/>
  <c r="AQ149" i="5" s="1"/>
  <c r="AP213" i="5"/>
  <c r="BI213" i="5" s="1"/>
  <c r="AP393" i="5"/>
  <c r="AR393" i="5" s="1"/>
  <c r="AP32" i="5"/>
  <c r="BI32" i="5" s="1"/>
  <c r="AP318" i="5"/>
  <c r="BI318" i="5" s="1"/>
  <c r="AP29" i="5"/>
  <c r="BI29" i="5" s="1"/>
  <c r="AI40" i="5"/>
  <c r="AH150" i="5"/>
  <c r="AH147" i="5"/>
  <c r="AI124" i="5"/>
  <c r="AI126" i="5"/>
  <c r="AH222" i="5"/>
  <c r="AI307" i="5"/>
  <c r="AH206" i="5"/>
  <c r="AH336" i="5"/>
  <c r="AH451" i="5"/>
  <c r="AI298" i="5"/>
  <c r="AI374" i="5"/>
  <c r="AH450" i="5"/>
  <c r="AH259" i="5"/>
  <c r="AH392" i="5"/>
  <c r="AH447" i="5"/>
  <c r="AI41" i="5"/>
  <c r="AI151" i="5"/>
  <c r="AI117" i="5"/>
  <c r="AH237" i="5"/>
  <c r="AI318" i="5"/>
  <c r="AI481" i="5"/>
  <c r="AI524" i="5"/>
  <c r="AI149" i="5"/>
  <c r="AH199" i="5"/>
  <c r="AI381" i="5"/>
  <c r="AH517" i="5"/>
  <c r="AH51" i="5"/>
  <c r="AI158" i="5"/>
  <c r="AH157" i="5"/>
  <c r="AI146" i="5"/>
  <c r="AI203" i="5"/>
  <c r="AP147" i="5"/>
  <c r="BI147" i="5" s="1"/>
  <c r="AP411" i="5"/>
  <c r="BI411" i="5" s="1"/>
  <c r="AP60" i="5"/>
  <c r="BI60" i="5" s="1"/>
  <c r="AP124" i="5"/>
  <c r="AR124" i="5" s="1"/>
  <c r="AP391" i="5"/>
  <c r="BI391" i="5" s="1"/>
  <c r="AP407" i="5"/>
  <c r="BI407" i="5" s="1"/>
  <c r="AP232" i="5"/>
  <c r="AP80" i="5"/>
  <c r="AP312" i="5"/>
  <c r="BI312" i="5" s="1"/>
  <c r="AP229" i="5"/>
  <c r="BI229" i="5" s="1"/>
  <c r="AP293" i="5"/>
  <c r="BI293" i="5" s="1"/>
  <c r="AP126" i="5"/>
  <c r="BI126" i="5" s="1"/>
  <c r="AP49" i="5"/>
  <c r="BI49" i="5" s="1"/>
  <c r="AP146" i="5"/>
  <c r="AQ146" i="5" s="1"/>
  <c r="AP158" i="5"/>
  <c r="BI158" i="5" s="1"/>
  <c r="AP386" i="5"/>
  <c r="AQ386" i="5" s="1"/>
  <c r="AP206" i="5"/>
  <c r="AQ206" i="5" s="1"/>
  <c r="AP302" i="5"/>
  <c r="AR302" i="5" s="1"/>
  <c r="AP350" i="5"/>
  <c r="AP278" i="5"/>
  <c r="AI549" i="5"/>
  <c r="AH510" i="5"/>
  <c r="AH31" i="5"/>
  <c r="AH56" i="5"/>
  <c r="AI372" i="5"/>
  <c r="AI486" i="5"/>
  <c r="AH383" i="5"/>
  <c r="AH68" i="5"/>
  <c r="AI335" i="5"/>
  <c r="AH554" i="5"/>
  <c r="AP336" i="5"/>
  <c r="AP175" i="5"/>
  <c r="AP319" i="5"/>
  <c r="AR319" i="5" s="1"/>
  <c r="AP463" i="5"/>
  <c r="AQ463" i="5" s="1"/>
  <c r="AP144" i="5"/>
  <c r="AR144" i="5" s="1"/>
  <c r="AP61" i="5"/>
  <c r="BI61" i="5" s="1"/>
  <c r="AP189" i="5"/>
  <c r="BI189" i="5" s="1"/>
  <c r="AP117" i="5"/>
  <c r="AQ117" i="5" s="1"/>
  <c r="AP181" i="5"/>
  <c r="BI181" i="5" s="1"/>
  <c r="AP385" i="5"/>
  <c r="BI385" i="5" s="1"/>
  <c r="AP274" i="5"/>
  <c r="BI274" i="5" s="1"/>
  <c r="AP338" i="5"/>
  <c r="BI338" i="5" s="1"/>
  <c r="AP524" i="5"/>
  <c r="AP41" i="5"/>
  <c r="AP414" i="5"/>
  <c r="BI414" i="5" s="1"/>
  <c r="AH504" i="5"/>
  <c r="AI482" i="5"/>
  <c r="AI82" i="5"/>
  <c r="AI280" i="5"/>
  <c r="AI448" i="5"/>
  <c r="AI492" i="5"/>
  <c r="AI273" i="5"/>
  <c r="AI516" i="5"/>
  <c r="AI287" i="5"/>
  <c r="AI390" i="5"/>
  <c r="AI555" i="5"/>
  <c r="AH111" i="5"/>
  <c r="AI223" i="5"/>
  <c r="AI346" i="5"/>
  <c r="AH238" i="5"/>
  <c r="AH511" i="5"/>
  <c r="AH140" i="5"/>
  <c r="AP334" i="5"/>
  <c r="BI334" i="5" s="1"/>
  <c r="AH299" i="5"/>
  <c r="AH388" i="5"/>
  <c r="AI394" i="5"/>
  <c r="AH471" i="5"/>
  <c r="AH107" i="5"/>
  <c r="AH230" i="5"/>
  <c r="AI326" i="5"/>
  <c r="AH507" i="5"/>
  <c r="AI468" i="5"/>
  <c r="AI560" i="5"/>
  <c r="AP507" i="5"/>
  <c r="AQ507" i="5" s="1"/>
  <c r="AP408" i="5"/>
  <c r="BI408" i="5" s="1"/>
  <c r="AP471" i="5"/>
  <c r="AQ471" i="5" s="1"/>
  <c r="AP527" i="5"/>
  <c r="BI527" i="5" s="1"/>
  <c r="AP560" i="5"/>
  <c r="BI560" i="5" s="1"/>
  <c r="AP468" i="5"/>
  <c r="AI101" i="5"/>
  <c r="AH317" i="5"/>
  <c r="AI532" i="5"/>
  <c r="AH459" i="5"/>
  <c r="AH311" i="5"/>
  <c r="AI406" i="5"/>
  <c r="AH556" i="5"/>
  <c r="AP459" i="5"/>
  <c r="BI459" i="5" s="1"/>
  <c r="AP303" i="5"/>
  <c r="BI303" i="5" s="1"/>
  <c r="AP218" i="5"/>
  <c r="BI218" i="5" s="1"/>
  <c r="AP389" i="5"/>
  <c r="AQ389" i="5" s="1"/>
  <c r="AP485" i="5"/>
  <c r="AP394" i="5"/>
  <c r="AQ394" i="5" s="1"/>
  <c r="AP475" i="5"/>
  <c r="BI475" i="5" s="1"/>
  <c r="AP532" i="5"/>
  <c r="AR532" i="5" s="1"/>
  <c r="AP101" i="5"/>
  <c r="BI101" i="5" s="1"/>
  <c r="AP329" i="5"/>
  <c r="AR329" i="5" s="1"/>
  <c r="AH355" i="5"/>
  <c r="AH73" i="5"/>
  <c r="AI455" i="5"/>
  <c r="AI543" i="5"/>
  <c r="AI179" i="5"/>
  <c r="AH347" i="5"/>
  <c r="AI211" i="5"/>
  <c r="AH261" i="5"/>
  <c r="AH296" i="5"/>
  <c r="AH387" i="5"/>
  <c r="AH444" i="5"/>
  <c r="AP435" i="5"/>
  <c r="BI435" i="5" s="1"/>
  <c r="AP187" i="5"/>
  <c r="AQ187" i="5" s="1"/>
  <c r="AP251" i="5"/>
  <c r="AQ251" i="5" s="1"/>
  <c r="AP315" i="5"/>
  <c r="AR315" i="5" s="1"/>
  <c r="AP379" i="5"/>
  <c r="AR379" i="5" s="1"/>
  <c r="AP455" i="5"/>
  <c r="BI455" i="5" s="1"/>
  <c r="AP472" i="5"/>
  <c r="BI472" i="5" s="1"/>
  <c r="AP480" i="5"/>
  <c r="AP191" i="5"/>
  <c r="AP552" i="5"/>
  <c r="BI552" i="5" s="1"/>
  <c r="AP185" i="5"/>
  <c r="BI185" i="5" s="1"/>
  <c r="AP378" i="5"/>
  <c r="AQ378" i="5" s="1"/>
  <c r="AP442" i="5"/>
  <c r="BI442" i="5" s="1"/>
  <c r="AP382" i="5"/>
  <c r="BI382" i="5" s="1"/>
  <c r="AH305" i="5"/>
  <c r="AI480" i="5"/>
  <c r="AH531" i="5"/>
  <c r="AI529" i="5"/>
  <c r="AI128" i="5"/>
  <c r="AI315" i="5"/>
  <c r="AI292" i="5"/>
  <c r="AH365" i="5"/>
  <c r="AH242" i="5"/>
  <c r="AI472" i="5"/>
  <c r="AH542" i="5"/>
  <c r="AH257" i="5"/>
  <c r="AI314" i="5"/>
  <c r="AI552" i="5"/>
  <c r="AI544" i="5"/>
  <c r="AP531" i="5"/>
  <c r="BI531" i="5" s="1"/>
  <c r="AP347" i="5"/>
  <c r="BI347" i="5" s="1"/>
  <c r="AP135" i="5"/>
  <c r="BI135" i="5" s="1"/>
  <c r="AP448" i="5"/>
  <c r="AQ448" i="5" s="1"/>
  <c r="AP111" i="5"/>
  <c r="BI111" i="5" s="1"/>
  <c r="AP367" i="5"/>
  <c r="BI367" i="5" s="1"/>
  <c r="AP444" i="5"/>
  <c r="BI444" i="5" s="1"/>
  <c r="AP548" i="5"/>
  <c r="AR548" i="5" s="1"/>
  <c r="AP173" i="5"/>
  <c r="BI173" i="5" s="1"/>
  <c r="AP300" i="5"/>
  <c r="BI300" i="5" s="1"/>
  <c r="AP210" i="5"/>
  <c r="BI210" i="5" s="1"/>
  <c r="AP129" i="5"/>
  <c r="BI129" i="5" s="1"/>
  <c r="AP24" i="5"/>
  <c r="AR24" i="5" s="1"/>
  <c r="AP21" i="5"/>
  <c r="BI21" i="5" s="1"/>
  <c r="AP291" i="5"/>
  <c r="BI291" i="5" s="1"/>
  <c r="AP355" i="5"/>
  <c r="AP547" i="5"/>
  <c r="BI547" i="5" s="1"/>
  <c r="AP555" i="5"/>
  <c r="BI555" i="5" s="1"/>
  <c r="AP140" i="5"/>
  <c r="BI140" i="5" s="1"/>
  <c r="AP252" i="5"/>
  <c r="BI252" i="5" s="1"/>
  <c r="AP431" i="5"/>
  <c r="AR431" i="5" s="1"/>
  <c r="AP544" i="5"/>
  <c r="BI544" i="5" s="1"/>
  <c r="AP508" i="5"/>
  <c r="BI508" i="5" s="1"/>
  <c r="AP436" i="5"/>
  <c r="BI436" i="5" s="1"/>
  <c r="AP50" i="5"/>
  <c r="AQ50" i="5" s="1"/>
  <c r="AP166" i="5"/>
  <c r="AR166" i="5" s="1"/>
  <c r="AH460" i="5"/>
  <c r="AP362" i="5"/>
  <c r="BI362" i="5" s="1"/>
  <c r="AI476" i="5"/>
  <c r="AI493" i="5"/>
  <c r="AI546" i="5"/>
  <c r="AI132" i="5"/>
  <c r="AH143" i="5"/>
  <c r="AH250" i="5"/>
  <c r="AH357" i="5"/>
  <c r="AI289" i="5"/>
  <c r="AI437" i="5"/>
  <c r="AI308" i="5"/>
  <c r="AI557" i="5"/>
  <c r="AI171" i="5"/>
  <c r="AI375" i="5"/>
  <c r="AI310" i="5"/>
  <c r="AH425" i="5"/>
  <c r="AH204" i="5"/>
  <c r="AH277" i="5"/>
  <c r="AH398" i="5"/>
  <c r="AI216" i="5"/>
  <c r="AH294" i="5"/>
  <c r="AI396" i="5"/>
  <c r="AH512" i="5"/>
  <c r="AI545" i="5"/>
  <c r="AH518" i="5"/>
  <c r="AI553" i="5"/>
  <c r="AI400" i="5"/>
  <c r="AI268" i="5"/>
  <c r="AI397" i="5"/>
  <c r="AH498" i="5"/>
  <c r="AI536" i="5"/>
  <c r="AH506" i="5"/>
  <c r="AP308" i="5"/>
  <c r="AR308" i="5" s="1"/>
  <c r="AP263" i="5"/>
  <c r="AQ263" i="5" s="1"/>
  <c r="AP519" i="5"/>
  <c r="AR519" i="5" s="1"/>
  <c r="AP151" i="5"/>
  <c r="AQ151" i="5" s="1"/>
  <c r="AP316" i="5"/>
  <c r="BI316" i="5" s="1"/>
  <c r="AP143" i="5"/>
  <c r="BI143" i="5" s="1"/>
  <c r="AP335" i="5"/>
  <c r="BI335" i="5" s="1"/>
  <c r="AP216" i="5"/>
  <c r="AR216" i="5" s="1"/>
  <c r="AP237" i="5"/>
  <c r="AQ237" i="5" s="1"/>
  <c r="AP357" i="5"/>
  <c r="BI357" i="5" s="1"/>
  <c r="AP249" i="5"/>
  <c r="AR249" i="5" s="1"/>
  <c r="AP433" i="5"/>
  <c r="AR433" i="5" s="1"/>
  <c r="AP557" i="5"/>
  <c r="BI557" i="5" s="1"/>
  <c r="AP453" i="5"/>
  <c r="AQ453" i="5" s="1"/>
  <c r="AP450" i="5"/>
  <c r="BI450" i="5" s="1"/>
  <c r="AP549" i="5"/>
  <c r="BI549" i="5" s="1"/>
  <c r="AP510" i="5"/>
  <c r="AQ510" i="5" s="1"/>
  <c r="AP374" i="5"/>
  <c r="BI374" i="5" s="1"/>
  <c r="AP454" i="5"/>
  <c r="BI454" i="5" s="1"/>
  <c r="AH362" i="5"/>
  <c r="AP68" i="5"/>
  <c r="BI68" i="5" s="1"/>
  <c r="AP132" i="5"/>
  <c r="AR132" i="5" s="1"/>
  <c r="AP171" i="5"/>
  <c r="BI171" i="5" s="1"/>
  <c r="AP392" i="5"/>
  <c r="AR392" i="5" s="1"/>
  <c r="AP400" i="5"/>
  <c r="BI400" i="5" s="1"/>
  <c r="AP460" i="5"/>
  <c r="BI460" i="5" s="1"/>
  <c r="AP536" i="5"/>
  <c r="BI536" i="5" s="1"/>
  <c r="AP383" i="5"/>
  <c r="AR383" i="5" s="1"/>
  <c r="AP476" i="5"/>
  <c r="AR476" i="5" s="1"/>
  <c r="AP39" i="5"/>
  <c r="BI39" i="5" s="1"/>
  <c r="AP425" i="5"/>
  <c r="AR425" i="5" s="1"/>
  <c r="AP553" i="5"/>
  <c r="AQ553" i="5" s="1"/>
  <c r="AP381" i="5"/>
  <c r="AR381" i="5" s="1"/>
  <c r="AP298" i="5"/>
  <c r="BI298" i="5" s="1"/>
  <c r="AP554" i="5"/>
  <c r="BI554" i="5" s="1"/>
  <c r="AP486" i="5"/>
  <c r="AQ486" i="5" s="1"/>
  <c r="AP498" i="5"/>
  <c r="AQ498" i="5" s="1"/>
  <c r="AP517" i="5"/>
  <c r="BI517" i="5" s="1"/>
  <c r="AP259" i="5"/>
  <c r="BI259" i="5" s="1"/>
  <c r="AP323" i="5"/>
  <c r="AQ323" i="5" s="1"/>
  <c r="AP203" i="5"/>
  <c r="BI203" i="5" s="1"/>
  <c r="AP103" i="5"/>
  <c r="BI103" i="5" s="1"/>
  <c r="AP375" i="5"/>
  <c r="AR375" i="5" s="1"/>
  <c r="AP396" i="5"/>
  <c r="BI396" i="5" s="1"/>
  <c r="AP268" i="5"/>
  <c r="BI268" i="5" s="1"/>
  <c r="AP512" i="5"/>
  <c r="BI512" i="5" s="1"/>
  <c r="AP277" i="5"/>
  <c r="BI277" i="5" s="1"/>
  <c r="AP297" i="5"/>
  <c r="AQ297" i="5" s="1"/>
  <c r="AP372" i="5"/>
  <c r="BI372" i="5" s="1"/>
  <c r="AP481" i="5"/>
  <c r="AR481" i="5" s="1"/>
  <c r="AP545" i="5"/>
  <c r="AR545" i="5" s="1"/>
  <c r="AP397" i="5"/>
  <c r="BI397" i="5" s="1"/>
  <c r="AP437" i="5"/>
  <c r="AQ437" i="5" s="1"/>
  <c r="AP230" i="5"/>
  <c r="BI230" i="5" s="1"/>
  <c r="AP492" i="5"/>
  <c r="BI492" i="5" s="1"/>
  <c r="AP369" i="5"/>
  <c r="AR369" i="5" s="1"/>
  <c r="AP346" i="5"/>
  <c r="BI346" i="5" s="1"/>
  <c r="AP305" i="5"/>
  <c r="AQ305" i="5" s="1"/>
  <c r="AP482" i="5"/>
  <c r="BI482" i="5" s="1"/>
  <c r="AP380" i="5"/>
  <c r="AQ380" i="5" s="1"/>
  <c r="AP128" i="5"/>
  <c r="BI128" i="5" s="1"/>
  <c r="AP73" i="5"/>
  <c r="AQ73" i="5" s="1"/>
  <c r="AP529" i="5"/>
  <c r="AR529" i="5" s="1"/>
  <c r="AP130" i="5"/>
  <c r="AR130" i="5" s="1"/>
  <c r="AP202" i="5"/>
  <c r="AQ202" i="5" s="1"/>
  <c r="AP365" i="5"/>
  <c r="BI365" i="5" s="1"/>
  <c r="AP82" i="5"/>
  <c r="BI82" i="5" s="1"/>
  <c r="AP257" i="5"/>
  <c r="AR257" i="5" s="1"/>
  <c r="AP421" i="5"/>
  <c r="AR421" i="5" s="1"/>
  <c r="AP314" i="5"/>
  <c r="BI314" i="5" s="1"/>
  <c r="AP238" i="5"/>
  <c r="AQ238" i="5" s="1"/>
  <c r="AP262" i="5"/>
  <c r="AQ262" i="5" s="1"/>
  <c r="AP246" i="5"/>
  <c r="AQ246" i="5" s="1"/>
  <c r="AP474" i="5"/>
  <c r="BI474" i="5" s="1"/>
  <c r="AH19" i="4"/>
  <c r="AH35" i="4"/>
  <c r="AH51" i="4"/>
  <c r="AH134" i="4"/>
  <c r="AH65" i="4"/>
  <c r="AH123" i="4"/>
  <c r="AH91" i="4"/>
  <c r="AH145" i="4"/>
  <c r="AH113" i="4"/>
  <c r="AH7" i="4"/>
  <c r="AH50" i="4"/>
  <c r="AH144" i="4"/>
  <c r="AH16" i="4"/>
  <c r="AH32" i="4"/>
  <c r="AH48" i="4"/>
  <c r="AH99" i="4"/>
  <c r="AH128" i="4"/>
  <c r="AH112" i="4"/>
  <c r="AH75" i="4"/>
  <c r="AH127" i="4"/>
  <c r="AH14" i="4"/>
  <c r="AH150" i="4"/>
  <c r="AH34" i="4"/>
  <c r="AH58" i="4"/>
  <c r="AH122" i="4"/>
  <c r="AH142" i="4"/>
  <c r="AH143" i="4"/>
  <c r="AH25" i="4"/>
  <c r="AH41" i="4"/>
  <c r="AH57" i="4"/>
  <c r="AH90" i="4"/>
  <c r="AH84" i="4"/>
  <c r="AH140" i="4"/>
  <c r="AH131" i="4"/>
  <c r="AH114" i="4"/>
  <c r="AH12" i="4"/>
  <c r="AH46" i="4"/>
  <c r="AH61" i="4"/>
  <c r="AH27" i="4"/>
  <c r="AH43" i="4"/>
  <c r="AH64" i="4"/>
  <c r="AH31" i="4"/>
  <c r="AH47" i="4"/>
  <c r="AH87" i="4"/>
  <c r="AH119" i="4"/>
  <c r="AH106" i="4"/>
  <c r="AH70" i="4"/>
  <c r="AH115" i="4"/>
  <c r="AH13" i="4"/>
  <c r="AH146" i="4"/>
  <c r="AH22" i="4"/>
  <c r="AH88" i="4"/>
  <c r="AH148" i="4"/>
  <c r="AH28" i="4"/>
  <c r="AH44" i="4"/>
  <c r="AH67" i="4"/>
  <c r="AH102" i="4"/>
  <c r="AH96" i="4"/>
  <c r="AH153" i="4"/>
  <c r="AH77" i="4"/>
  <c r="AH141" i="4"/>
  <c r="AH108" i="4"/>
  <c r="AH30" i="4"/>
  <c r="AH54" i="4"/>
  <c r="AH72" i="4"/>
  <c r="AH132" i="4"/>
  <c r="AH73" i="4"/>
  <c r="AH21" i="4"/>
  <c r="AH37" i="4"/>
  <c r="AH53" i="4"/>
  <c r="AH74" i="4"/>
  <c r="AH71" i="4"/>
  <c r="AH125" i="4"/>
  <c r="AH103" i="4"/>
  <c r="AH9" i="4"/>
  <c r="AH147" i="4"/>
  <c r="AH26" i="4"/>
  <c r="AH105" i="4"/>
  <c r="AH11" i="4"/>
  <c r="AH151" i="4"/>
  <c r="AH52" i="4"/>
  <c r="AH135" i="4"/>
  <c r="AH62" i="4"/>
  <c r="AH109" i="4"/>
  <c r="AH8" i="4"/>
  <c r="AH63" i="4"/>
  <c r="W125" i="4"/>
  <c r="Y125" i="4" s="1"/>
  <c r="W122" i="4"/>
  <c r="Y122" i="4" s="1"/>
  <c r="Z122" i="4" s="1"/>
  <c r="W25" i="4"/>
  <c r="Y25" i="4" s="1"/>
  <c r="Z25" i="4" s="1"/>
  <c r="W41" i="4"/>
  <c r="Y41" i="4" s="1"/>
  <c r="W49" i="4"/>
  <c r="Y49" i="4" s="1"/>
  <c r="W57" i="4"/>
  <c r="Y57" i="4" s="1"/>
  <c r="W65" i="4"/>
  <c r="Y65" i="4" s="1"/>
  <c r="Z65" i="4" s="1"/>
  <c r="W73" i="4"/>
  <c r="Y73" i="4" s="1"/>
  <c r="Z73" i="4" s="1"/>
  <c r="W81" i="4"/>
  <c r="Y81" i="4" s="1"/>
  <c r="W89" i="4"/>
  <c r="Y89" i="4" s="1"/>
  <c r="W97" i="4"/>
  <c r="Y97" i="4" s="1"/>
  <c r="W105" i="4"/>
  <c r="Y105" i="4" s="1"/>
  <c r="W113" i="4"/>
  <c r="Y113" i="4" s="1"/>
  <c r="W121" i="4"/>
  <c r="Y121" i="4" s="1"/>
  <c r="W129" i="4"/>
  <c r="Y129" i="4" s="1"/>
  <c r="W137" i="4"/>
  <c r="Y137" i="4" s="1"/>
  <c r="W145" i="4"/>
  <c r="Y145" i="4" s="1"/>
  <c r="W153" i="4"/>
  <c r="Y153" i="4" s="1"/>
  <c r="W11" i="4"/>
  <c r="Y11" i="4" s="1"/>
  <c r="Z11" i="4" s="1"/>
  <c r="W26" i="4"/>
  <c r="Y26" i="4" s="1"/>
  <c r="W54" i="4"/>
  <c r="Y54" i="4" s="1"/>
  <c r="W86" i="4"/>
  <c r="Y86" i="4" s="1"/>
  <c r="Z86" i="4" s="1"/>
  <c r="W150" i="4"/>
  <c r="Y150" i="4" s="1"/>
  <c r="Z150" i="4" s="1"/>
  <c r="W27" i="4"/>
  <c r="Y27" i="4" s="1"/>
  <c r="Z27" i="4" s="1"/>
  <c r="W52" i="4"/>
  <c r="Y52" i="4" s="1"/>
  <c r="W84" i="4"/>
  <c r="Y84" i="4" s="1"/>
  <c r="W24" i="4"/>
  <c r="Y24" i="4" s="1"/>
  <c r="Z24" i="4" s="1"/>
  <c r="W42" i="4"/>
  <c r="Y42" i="4" s="1"/>
  <c r="W74" i="4"/>
  <c r="Y74" i="4" s="1"/>
  <c r="W106" i="4"/>
  <c r="Y106" i="4" s="1"/>
  <c r="Z106" i="4" s="1"/>
  <c r="W15" i="4"/>
  <c r="Y15" i="4" s="1"/>
  <c r="Z15" i="4" s="1"/>
  <c r="W36" i="4"/>
  <c r="Y36" i="4" s="1"/>
  <c r="Z36" i="4" s="1"/>
  <c r="W72" i="4"/>
  <c r="Y72" i="4" s="1"/>
  <c r="Z72" i="4" s="1"/>
  <c r="W104" i="4"/>
  <c r="Y104" i="4" s="1"/>
  <c r="Z104" i="4" s="1"/>
  <c r="AH121" i="4"/>
  <c r="AH49" i="4"/>
  <c r="AH98" i="4"/>
  <c r="AH66" i="4"/>
  <c r="AH83" i="4"/>
  <c r="AH100" i="4"/>
  <c r="AH55" i="4"/>
  <c r="AH15" i="4"/>
  <c r="AH56" i="4"/>
  <c r="AH130" i="4"/>
  <c r="AH104" i="4"/>
  <c r="AH156" i="4"/>
  <c r="AH129" i="4"/>
  <c r="AH10" i="4"/>
  <c r="W118" i="4"/>
  <c r="Y118" i="4" s="1"/>
  <c r="W116" i="4"/>
  <c r="Y116" i="4" s="1"/>
  <c r="W148" i="4"/>
  <c r="Y148" i="4" s="1"/>
  <c r="W136" i="4"/>
  <c r="Y136" i="4" s="1"/>
  <c r="AH69" i="4"/>
  <c r="AH116" i="4"/>
  <c r="AH79" i="4"/>
  <c r="AH139" i="4"/>
  <c r="AH120" i="4"/>
  <c r="AH126" i="4"/>
  <c r="AH133" i="4"/>
  <c r="AH68" i="4"/>
  <c r="AH117" i="4"/>
  <c r="AH36" i="4"/>
  <c r="AH80" i="4"/>
  <c r="AH107" i="4"/>
  <c r="AH33" i="4"/>
  <c r="AH78" i="4"/>
  <c r="AH118" i="4"/>
  <c r="AH23" i="4"/>
  <c r="AH111" i="4"/>
  <c r="AH85" i="4"/>
  <c r="AH97" i="4"/>
  <c r="W30" i="4"/>
  <c r="Y30" i="4" s="1"/>
  <c r="Z30" i="4" s="1"/>
  <c r="W43" i="4"/>
  <c r="Y43" i="4" s="1"/>
  <c r="W51" i="4"/>
  <c r="Y51" i="4" s="1"/>
  <c r="W59" i="4"/>
  <c r="Y59" i="4" s="1"/>
  <c r="Z59" i="4" s="1"/>
  <c r="W67" i="4"/>
  <c r="Y67" i="4" s="1"/>
  <c r="W75" i="4"/>
  <c r="Y75" i="4" s="1"/>
  <c r="W83" i="4"/>
  <c r="Y83" i="4" s="1"/>
  <c r="Z83" i="4" s="1"/>
  <c r="W91" i="4"/>
  <c r="Y91" i="4" s="1"/>
  <c r="Z91" i="4" s="1"/>
  <c r="W99" i="4"/>
  <c r="Y99" i="4" s="1"/>
  <c r="Z99" i="4" s="1"/>
  <c r="W107" i="4"/>
  <c r="Y107" i="4" s="1"/>
  <c r="Z107" i="4" s="1"/>
  <c r="W115" i="4"/>
  <c r="Y115" i="4" s="1"/>
  <c r="Z115" i="4" s="1"/>
  <c r="W123" i="4"/>
  <c r="Y123" i="4" s="1"/>
  <c r="Z123" i="4" s="1"/>
  <c r="W131" i="4"/>
  <c r="Y131" i="4" s="1"/>
  <c r="Z131" i="4" s="1"/>
  <c r="W139" i="4"/>
  <c r="Y139" i="4" s="1"/>
  <c r="Z139" i="4" s="1"/>
  <c r="W147" i="4"/>
  <c r="Y147" i="4" s="1"/>
  <c r="W155" i="4"/>
  <c r="Y155" i="4" s="1"/>
  <c r="Z155" i="4" s="1"/>
  <c r="W13" i="4"/>
  <c r="Y13" i="4" s="1"/>
  <c r="Z13" i="4" s="1"/>
  <c r="W37" i="4"/>
  <c r="Y37" i="4" s="1"/>
  <c r="Z37" i="4" s="1"/>
  <c r="W62" i="4"/>
  <c r="Y62" i="4" s="1"/>
  <c r="W94" i="4"/>
  <c r="Y94" i="4" s="1"/>
  <c r="Z94" i="4" s="1"/>
  <c r="W8" i="4"/>
  <c r="Y8" i="4" s="1"/>
  <c r="Z8" i="4" s="1"/>
  <c r="W31" i="4"/>
  <c r="Y31" i="4" s="1"/>
  <c r="Z31" i="4" s="1"/>
  <c r="W60" i="4"/>
  <c r="Y60" i="4" s="1"/>
  <c r="Z60" i="4" s="1"/>
  <c r="W92" i="4"/>
  <c r="Y92" i="4" s="1"/>
  <c r="Z92" i="4" s="1"/>
  <c r="W124" i="4"/>
  <c r="Y124" i="4" s="1"/>
  <c r="W156" i="4"/>
  <c r="Y156" i="4" s="1"/>
  <c r="Z156" i="4" s="1"/>
  <c r="W28" i="4"/>
  <c r="Y28" i="4" s="1"/>
  <c r="Z28" i="4" s="1"/>
  <c r="W50" i="4"/>
  <c r="Y50" i="4" s="1"/>
  <c r="W82" i="4"/>
  <c r="Y82" i="4" s="1"/>
  <c r="Z82" i="4" s="1"/>
  <c r="W114" i="4"/>
  <c r="Y114" i="4" s="1"/>
  <c r="Z114" i="4" s="1"/>
  <c r="W146" i="4"/>
  <c r="Y146" i="4" s="1"/>
  <c r="Z146" i="4" s="1"/>
  <c r="W18" i="4"/>
  <c r="W48" i="4"/>
  <c r="Y48" i="4" s="1"/>
  <c r="W80" i="4"/>
  <c r="Y80" i="4" s="1"/>
  <c r="Z80" i="4" s="1"/>
  <c r="W112" i="4"/>
  <c r="Y112" i="4" s="1"/>
  <c r="W144" i="4"/>
  <c r="Y144" i="4" s="1"/>
  <c r="W17" i="4"/>
  <c r="Y17" i="4" s="1"/>
  <c r="Z17" i="4" s="1"/>
  <c r="W33" i="4"/>
  <c r="Y33" i="4" s="1"/>
  <c r="Z33" i="4" s="1"/>
  <c r="W45" i="4"/>
  <c r="Y45" i="4" s="1"/>
  <c r="Z45" i="4" s="1"/>
  <c r="W53" i="4"/>
  <c r="W61" i="4"/>
  <c r="W69" i="4"/>
  <c r="W77" i="4"/>
  <c r="W85" i="4"/>
  <c r="W93" i="4"/>
  <c r="W101" i="4"/>
  <c r="W109" i="4"/>
  <c r="Y109" i="4" s="1"/>
  <c r="W117" i="4"/>
  <c r="Y117" i="4" s="1"/>
  <c r="W133" i="4"/>
  <c r="Y133" i="4" s="1"/>
  <c r="W141" i="4"/>
  <c r="W149" i="4"/>
  <c r="W157" i="4"/>
  <c r="W19" i="4"/>
  <c r="W40" i="4"/>
  <c r="W70" i="4"/>
  <c r="W102" i="4"/>
  <c r="Y102" i="4" s="1"/>
  <c r="W134" i="4"/>
  <c r="W16" i="4"/>
  <c r="W34" i="4"/>
  <c r="Y34" i="4" s="1"/>
  <c r="Z34" i="4" s="1"/>
  <c r="W68" i="4"/>
  <c r="W100" i="4"/>
  <c r="W132" i="4"/>
  <c r="W14" i="4"/>
  <c r="Y14" i="4" s="1"/>
  <c r="Z14" i="4" s="1"/>
  <c r="X14" i="4" s="1"/>
  <c r="W35" i="4"/>
  <c r="Y35" i="4" s="1"/>
  <c r="W58" i="4"/>
  <c r="W90" i="4"/>
  <c r="W154" i="4"/>
  <c r="Y154" i="4" s="1"/>
  <c r="Z154" i="4" s="1"/>
  <c r="W29" i="4"/>
  <c r="Y29" i="4" s="1"/>
  <c r="Z29" i="4" s="1"/>
  <c r="W56" i="4"/>
  <c r="W88" i="4"/>
  <c r="Y88" i="4" s="1"/>
  <c r="W152" i="4"/>
  <c r="W22" i="4"/>
  <c r="W38" i="4"/>
  <c r="W47" i="4"/>
  <c r="W55" i="4"/>
  <c r="W63" i="4"/>
  <c r="W71" i="4"/>
  <c r="W79" i="4"/>
  <c r="W87" i="4"/>
  <c r="W95" i="4"/>
  <c r="W103" i="4"/>
  <c r="W111" i="4"/>
  <c r="W127" i="4"/>
  <c r="W9" i="4"/>
  <c r="W23" i="4"/>
  <c r="W46" i="4"/>
  <c r="W78" i="4"/>
  <c r="W110" i="4"/>
  <c r="W142" i="4"/>
  <c r="W20" i="4"/>
  <c r="W44" i="4"/>
  <c r="W76" i="4"/>
  <c r="W108" i="4"/>
  <c r="W21" i="4"/>
  <c r="W39" i="4"/>
  <c r="W66" i="4"/>
  <c r="W98" i="4"/>
  <c r="W130" i="4"/>
  <c r="W12" i="4"/>
  <c r="W32" i="4"/>
  <c r="W64" i="4"/>
  <c r="W96" i="4"/>
  <c r="W128" i="4"/>
  <c r="W10" i="4"/>
  <c r="W7" i="4"/>
  <c r="AE7" i="4" s="1"/>
  <c r="W138" i="4"/>
  <c r="AH18" i="4"/>
  <c r="AH157" i="4"/>
  <c r="AH76" i="4"/>
  <c r="AH124" i="4"/>
  <c r="AH39" i="4"/>
  <c r="AH149" i="4"/>
  <c r="AH155" i="4"/>
  <c r="AH95" i="4"/>
  <c r="AH29" i="4"/>
  <c r="AH81" i="4"/>
  <c r="AH42" i="4"/>
  <c r="AH40" i="4"/>
  <c r="AH93" i="4"/>
  <c r="AH152" i="4"/>
  <c r="AH17" i="4"/>
  <c r="AH38" i="4"/>
  <c r="AH20" i="4"/>
  <c r="AH101" i="4"/>
  <c r="AH82" i="4"/>
  <c r="AH45" i="4"/>
  <c r="AH94" i="4"/>
  <c r="AH154" i="4"/>
  <c r="W126" i="4"/>
  <c r="W120" i="4"/>
  <c r="W119" i="4"/>
  <c r="W135" i="4"/>
  <c r="W143" i="4"/>
  <c r="W151" i="4"/>
  <c r="W140" i="4"/>
  <c r="W7" i="5"/>
  <c r="X7" i="5" s="1"/>
  <c r="B187" i="2"/>
  <c r="B181" i="2"/>
  <c r="B201" i="2" s="1"/>
  <c r="Q7" i="5"/>
  <c r="AH349" i="5"/>
  <c r="AI349" i="5"/>
  <c r="AI131" i="5"/>
  <c r="AH131" i="5"/>
  <c r="AH487" i="5"/>
  <c r="AI487" i="5"/>
  <c r="AH153" i="5"/>
  <c r="AI153" i="5"/>
  <c r="AH333" i="5"/>
  <c r="AI333" i="5"/>
  <c r="AI550" i="5"/>
  <c r="AH550" i="5"/>
  <c r="AI478" i="5"/>
  <c r="AH478" i="5"/>
  <c r="AH245" i="5"/>
  <c r="AI245" i="5"/>
  <c r="AI470" i="5"/>
  <c r="AH470" i="5"/>
  <c r="AH235" i="5"/>
  <c r="AI235" i="5"/>
  <c r="AI119" i="5"/>
  <c r="AH119" i="5"/>
  <c r="AH322" i="5"/>
  <c r="AI322" i="5"/>
  <c r="AI356" i="5"/>
  <c r="AH356" i="5"/>
  <c r="AH94" i="5"/>
  <c r="AI94" i="5"/>
  <c r="AH176" i="5"/>
  <c r="AI176" i="5"/>
  <c r="AH116" i="5"/>
  <c r="AI116" i="5"/>
  <c r="AI7" i="5"/>
  <c r="AH7" i="5"/>
  <c r="AH377" i="5"/>
  <c r="AI377" i="5"/>
  <c r="AH248" i="5"/>
  <c r="AI248" i="5"/>
  <c r="AH366" i="5"/>
  <c r="AI366" i="5"/>
  <c r="AI161" i="5"/>
  <c r="AH161" i="5"/>
  <c r="AH43" i="5"/>
  <c r="AI43" i="5"/>
  <c r="AH66" i="5"/>
  <c r="AI66" i="5"/>
  <c r="AI87" i="5"/>
  <c r="AH87" i="5"/>
  <c r="AH105" i="5"/>
  <c r="AI105" i="5"/>
  <c r="AP105" i="5"/>
  <c r="AQ105" i="5" s="1"/>
  <c r="AH499" i="5"/>
  <c r="AI499" i="5"/>
  <c r="AH269" i="5"/>
  <c r="AI288" i="5"/>
  <c r="AH523" i="5"/>
  <c r="AH70" i="5"/>
  <c r="AH104" i="5"/>
  <c r="AI325" i="5"/>
  <c r="AI405" i="5"/>
  <c r="AI290" i="5"/>
  <c r="AI432" i="5"/>
  <c r="U10" i="5"/>
  <c r="V10" i="5"/>
  <c r="B58" i="2"/>
  <c r="H42" i="1"/>
  <c r="AI271" i="5"/>
  <c r="AH271" i="5"/>
  <c r="AI495" i="5"/>
  <c r="AH495" i="5"/>
  <c r="AH501" i="5"/>
  <c r="AI501" i="5"/>
  <c r="AI332" i="5"/>
  <c r="AH332" i="5"/>
  <c r="AI343" i="5"/>
  <c r="AH343" i="5"/>
  <c r="AH19" i="5"/>
  <c r="AI19" i="5"/>
  <c r="AI276" i="5"/>
  <c r="AH276" i="5"/>
  <c r="AH214" i="5"/>
  <c r="AI214" i="5"/>
  <c r="AH441" i="5"/>
  <c r="AI441" i="5"/>
  <c r="AH304" i="5"/>
  <c r="AI304" i="5"/>
  <c r="AI123" i="5"/>
  <c r="AH123" i="5"/>
  <c r="AH528" i="5"/>
  <c r="AI528" i="5"/>
  <c r="AI502" i="5"/>
  <c r="AH502" i="5"/>
  <c r="AH295" i="5"/>
  <c r="AI295" i="5"/>
  <c r="AH353" i="5"/>
  <c r="AP353" i="5"/>
  <c r="BI353" i="5" s="1"/>
  <c r="AI353" i="5"/>
  <c r="AH358" i="5"/>
  <c r="AI358" i="5"/>
  <c r="AH345" i="5"/>
  <c r="AI345" i="5"/>
  <c r="AH138" i="5"/>
  <c r="AI138" i="5"/>
  <c r="AI244" i="5"/>
  <c r="AH244" i="5"/>
  <c r="AH420" i="5"/>
  <c r="AI420" i="5"/>
  <c r="AH236" i="5"/>
  <c r="AI236" i="5"/>
  <c r="AH283" i="5"/>
  <c r="AI283" i="5"/>
  <c r="AH197" i="5"/>
  <c r="AI197" i="5"/>
  <c r="AI92" i="5"/>
  <c r="AH92" i="5"/>
  <c r="AI115" i="5"/>
  <c r="AH115" i="5"/>
  <c r="AH59" i="5"/>
  <c r="AI59" i="5"/>
  <c r="AH489" i="5"/>
  <c r="AP489" i="5"/>
  <c r="AQ489" i="5" s="1"/>
  <c r="AI489" i="5"/>
  <c r="AH426" i="5"/>
  <c r="AI426" i="5"/>
  <c r="AH201" i="5"/>
  <c r="AI201" i="5"/>
  <c r="AH183" i="5"/>
  <c r="AI183" i="5"/>
  <c r="AH122" i="5"/>
  <c r="AI122" i="5"/>
  <c r="AH23" i="5"/>
  <c r="AI23" i="5"/>
  <c r="AI438" i="5"/>
  <c r="AH438" i="5"/>
  <c r="AH231" i="5"/>
  <c r="AI464" i="5"/>
  <c r="AI539" i="5"/>
  <c r="AH44" i="5"/>
  <c r="AI95" i="5"/>
  <c r="AI198" i="5"/>
  <c r="AI423" i="5"/>
  <c r="AI328" i="5"/>
  <c r="AH401" i="5"/>
  <c r="AH484" i="5"/>
  <c r="AH46" i="5"/>
  <c r="AI418" i="5"/>
  <c r="AI20" i="5"/>
  <c r="AI327" i="5"/>
  <c r="AI428" i="5"/>
  <c r="AH33" i="5"/>
  <c r="AI33" i="5"/>
  <c r="AI264" i="5"/>
  <c r="AH264" i="5"/>
  <c r="AI540" i="5"/>
  <c r="AH540" i="5"/>
  <c r="AH534" i="5"/>
  <c r="AI534" i="5"/>
  <c r="AI422" i="5"/>
  <c r="AH422" i="5"/>
  <c r="AI457" i="5"/>
  <c r="AH457" i="5"/>
  <c r="AH344" i="5"/>
  <c r="AI344" i="5"/>
  <c r="AH462" i="5"/>
  <c r="AP462" i="5"/>
  <c r="AQ462" i="5" s="1"/>
  <c r="AP514" i="5"/>
  <c r="AR514" i="5" s="1"/>
  <c r="AI514" i="5"/>
  <c r="AI194" i="5"/>
  <c r="AH194" i="5"/>
  <c r="AI215" i="5"/>
  <c r="AH215" i="5"/>
  <c r="AI530" i="5"/>
  <c r="AH530" i="5"/>
  <c r="AI376" i="5"/>
  <c r="AH376" i="5"/>
  <c r="AI281" i="5"/>
  <c r="AH281" i="5"/>
  <c r="AH224" i="5"/>
  <c r="AI224" i="5"/>
  <c r="AI483" i="5"/>
  <c r="AH483" i="5"/>
  <c r="AH370" i="5"/>
  <c r="AI370" i="5"/>
  <c r="AH429" i="5"/>
  <c r="AI429" i="5"/>
  <c r="AH247" i="5"/>
  <c r="AI247" i="5"/>
  <c r="AI142" i="5"/>
  <c r="AH142" i="5"/>
  <c r="AH170" i="5"/>
  <c r="AI170" i="5"/>
  <c r="AH188" i="5"/>
  <c r="AI188" i="5"/>
  <c r="AH38" i="5"/>
  <c r="AI38" i="5"/>
  <c r="AI443" i="5"/>
  <c r="AH443" i="5"/>
  <c r="AH255" i="5"/>
  <c r="AI255" i="5"/>
  <c r="AH98" i="5"/>
  <c r="AI98" i="5"/>
  <c r="AH45" i="5"/>
  <c r="AI45" i="5"/>
  <c r="AI163" i="5"/>
  <c r="AH163" i="5"/>
  <c r="AH102" i="5"/>
  <c r="AI102" i="5"/>
  <c r="AH168" i="5"/>
  <c r="AI168" i="5"/>
  <c r="AH34" i="5"/>
  <c r="AI34" i="5"/>
  <c r="AM11" i="5"/>
  <c r="AN11" i="5" s="1"/>
  <c r="AJ11" i="5"/>
  <c r="AK11" i="5" s="1"/>
  <c r="W11" i="5"/>
  <c r="X11" i="5" s="1"/>
  <c r="AZ11" i="5"/>
  <c r="BB11" i="5" s="1"/>
  <c r="AT11" i="5"/>
  <c r="T11" i="5"/>
  <c r="U11" i="5" s="1"/>
  <c r="Q11" i="5"/>
  <c r="S11" i="5" s="1"/>
  <c r="AW11" i="5"/>
  <c r="AX11" i="5" s="1"/>
  <c r="AI241" i="5"/>
  <c r="AH241" i="5"/>
  <c r="AH419" i="5"/>
  <c r="AH415" i="5"/>
  <c r="AI462" i="5"/>
  <c r="AI52" i="5"/>
  <c r="AH286" i="5"/>
  <c r="AH258" i="5"/>
  <c r="AI162" i="5"/>
  <c r="AI219" i="5"/>
  <c r="AH127" i="5"/>
  <c r="AI477" i="5"/>
  <c r="AP115" i="5"/>
  <c r="AR115" i="5" s="1"/>
  <c r="AP499" i="5"/>
  <c r="BI499" i="5" s="1"/>
  <c r="AP276" i="5"/>
  <c r="BI276" i="5" s="1"/>
  <c r="AP59" i="5"/>
  <c r="BI59" i="5" s="1"/>
  <c r="AP123" i="5"/>
  <c r="AQ123" i="5" s="1"/>
  <c r="AP443" i="5"/>
  <c r="BI443" i="5" s="1"/>
  <c r="AP92" i="5"/>
  <c r="BI92" i="5" s="1"/>
  <c r="AP163" i="5"/>
  <c r="BI163" i="5" s="1"/>
  <c r="AP419" i="5"/>
  <c r="AQ419" i="5" s="1"/>
  <c r="AP483" i="5"/>
  <c r="AQ483" i="5" s="1"/>
  <c r="AP43" i="5"/>
  <c r="BI43" i="5" s="1"/>
  <c r="AP235" i="5"/>
  <c r="AQ235" i="5" s="1"/>
  <c r="AP19" i="5"/>
  <c r="BI19" i="5" s="1"/>
  <c r="AP295" i="5"/>
  <c r="BI295" i="5" s="1"/>
  <c r="AP423" i="5"/>
  <c r="AR423" i="5" s="1"/>
  <c r="AP328" i="5"/>
  <c r="AR328" i="5" s="1"/>
  <c r="AP183" i="5"/>
  <c r="BI183" i="5" s="1"/>
  <c r="AP464" i="5"/>
  <c r="AQ464" i="5" s="1"/>
  <c r="AP95" i="5"/>
  <c r="BI95" i="5" s="1"/>
  <c r="AP332" i="5"/>
  <c r="BI332" i="5" s="1"/>
  <c r="AP34" i="5"/>
  <c r="AQ34" i="5" s="1"/>
  <c r="AP176" i="5"/>
  <c r="AR176" i="5" s="1"/>
  <c r="AP420" i="5"/>
  <c r="AQ420" i="5" s="1"/>
  <c r="AP23" i="5"/>
  <c r="AQ23" i="5" s="1"/>
  <c r="AP245" i="5"/>
  <c r="AQ245" i="5" s="1"/>
  <c r="AP142" i="5"/>
  <c r="AQ142" i="5" s="1"/>
  <c r="AP153" i="5"/>
  <c r="AR153" i="5" s="1"/>
  <c r="AP281" i="5"/>
  <c r="AQ281" i="5" s="1"/>
  <c r="AP102" i="5"/>
  <c r="BI102" i="5" s="1"/>
  <c r="AP98" i="5"/>
  <c r="BI98" i="5" s="1"/>
  <c r="AP162" i="5"/>
  <c r="BI162" i="5" s="1"/>
  <c r="AP533" i="5"/>
  <c r="BI533" i="5" s="1"/>
  <c r="AP426" i="5"/>
  <c r="AQ426" i="5" s="1"/>
  <c r="AP198" i="5"/>
  <c r="AQ198" i="5" s="1"/>
  <c r="AP422" i="5"/>
  <c r="AQ422" i="5" s="1"/>
  <c r="AP286" i="5"/>
  <c r="BI286" i="5" s="1"/>
  <c r="AP327" i="5"/>
  <c r="AQ327" i="5" s="1"/>
  <c r="AP168" i="5"/>
  <c r="AR168" i="5" s="1"/>
  <c r="AP264" i="5"/>
  <c r="AR264" i="5" s="1"/>
  <c r="AP344" i="5"/>
  <c r="BI344" i="5" s="1"/>
  <c r="AP87" i="5"/>
  <c r="BI87" i="5" s="1"/>
  <c r="AP215" i="5"/>
  <c r="BI215" i="5" s="1"/>
  <c r="AP343" i="5"/>
  <c r="BI343" i="5" s="1"/>
  <c r="AP415" i="5"/>
  <c r="AQ415" i="5" s="1"/>
  <c r="AP224" i="5"/>
  <c r="BI224" i="5" s="1"/>
  <c r="AP484" i="5"/>
  <c r="AR484" i="5" s="1"/>
  <c r="AP269" i="5"/>
  <c r="BI269" i="5" s="1"/>
  <c r="AP333" i="5"/>
  <c r="BI333" i="5" s="1"/>
  <c r="AP197" i="5"/>
  <c r="BI197" i="5" s="1"/>
  <c r="AP325" i="5"/>
  <c r="BI325" i="5" s="1"/>
  <c r="AP377" i="5"/>
  <c r="AR377" i="5" s="1"/>
  <c r="AP441" i="5"/>
  <c r="BI441" i="5" s="1"/>
  <c r="AP94" i="5"/>
  <c r="AR94" i="5" s="1"/>
  <c r="AP401" i="5"/>
  <c r="AQ401" i="5" s="1"/>
  <c r="AP161" i="5"/>
  <c r="AR161" i="5" s="1"/>
  <c r="AP290" i="5"/>
  <c r="BI290" i="5" s="1"/>
  <c r="AP418" i="5"/>
  <c r="AR418" i="5" s="1"/>
  <c r="AP138" i="5"/>
  <c r="BI138" i="5" s="1"/>
  <c r="AP366" i="5"/>
  <c r="BI366" i="5" s="1"/>
  <c r="AP478" i="5"/>
  <c r="BI478" i="5" s="1"/>
  <c r="AP438" i="5"/>
  <c r="BI438" i="5" s="1"/>
  <c r="AP534" i="5"/>
  <c r="BI534" i="5" s="1"/>
  <c r="AP33" i="5"/>
  <c r="AQ33" i="5" s="1"/>
  <c r="AP131" i="5"/>
  <c r="AR131" i="5" s="1"/>
  <c r="AP38" i="5"/>
  <c r="AQ38" i="5" s="1"/>
  <c r="AP523" i="5"/>
  <c r="AR523" i="5" s="1"/>
  <c r="AP44" i="5"/>
  <c r="AR44" i="5" s="1"/>
  <c r="AP231" i="5"/>
  <c r="AQ231" i="5" s="1"/>
  <c r="AP359" i="5"/>
  <c r="BI359" i="5" s="1"/>
  <c r="AP487" i="5"/>
  <c r="AQ487" i="5" s="1"/>
  <c r="AP119" i="5"/>
  <c r="AQ119" i="5" s="1"/>
  <c r="AP247" i="5"/>
  <c r="AQ247" i="5" s="1"/>
  <c r="AP432" i="5"/>
  <c r="AQ432" i="5" s="1"/>
  <c r="AP127" i="5"/>
  <c r="BI127" i="5" s="1"/>
  <c r="AP255" i="5"/>
  <c r="BI255" i="5" s="1"/>
  <c r="AP248" i="5"/>
  <c r="AQ248" i="5" s="1"/>
  <c r="AP271" i="5"/>
  <c r="AQ271" i="5" s="1"/>
  <c r="AP160" i="5"/>
  <c r="AQ160" i="5" s="1"/>
  <c r="AP349" i="5"/>
  <c r="BI349" i="5" s="1"/>
  <c r="AP236" i="5"/>
  <c r="AQ236" i="5" s="1"/>
  <c r="AP540" i="5"/>
  <c r="AQ540" i="5" s="1"/>
  <c r="AP457" i="5"/>
  <c r="AR457" i="5" s="1"/>
  <c r="AP521" i="5"/>
  <c r="AQ521" i="5" s="1"/>
  <c r="AP46" i="5"/>
  <c r="BI46" i="5" s="1"/>
  <c r="AP345" i="5"/>
  <c r="AQ345" i="5" s="1"/>
  <c r="AP70" i="5"/>
  <c r="AQ70" i="5" s="1"/>
  <c r="AP194" i="5"/>
  <c r="AR194" i="5" s="1"/>
  <c r="AP370" i="5"/>
  <c r="AQ370" i="5" s="1"/>
  <c r="AP405" i="5"/>
  <c r="AR405" i="5" s="1"/>
  <c r="AP122" i="5"/>
  <c r="AR122" i="5" s="1"/>
  <c r="AP398" i="5"/>
  <c r="AR398" i="5" s="1"/>
  <c r="AP494" i="5"/>
  <c r="BI494" i="5" s="1"/>
  <c r="AP310" i="5"/>
  <c r="AQ310" i="5" s="1"/>
  <c r="AP470" i="5"/>
  <c r="AQ470" i="5" s="1"/>
  <c r="AP550" i="5"/>
  <c r="AQ550" i="5" s="1"/>
  <c r="AP502" i="5"/>
  <c r="BI502" i="5" s="1"/>
  <c r="AP406" i="5"/>
  <c r="AQ406" i="5" s="1"/>
  <c r="AP490" i="5"/>
  <c r="BI490" i="5" s="1"/>
  <c r="AP537" i="5"/>
  <c r="AR537" i="5" s="1"/>
  <c r="AP417" i="5"/>
  <c r="AQ417" i="5" s="1"/>
  <c r="AH490" i="5"/>
  <c r="AH537" i="5"/>
  <c r="AP86" i="5"/>
  <c r="AQ86" i="5" s="1"/>
  <c r="AI54" i="5"/>
  <c r="AI86" i="5"/>
  <c r="AI417" i="5"/>
  <c r="AH465" i="5"/>
  <c r="AH348" i="5"/>
  <c r="AI200" i="5"/>
  <c r="AI371" i="5"/>
  <c r="AI452" i="5"/>
  <c r="AI497" i="5"/>
  <c r="AH548" i="5"/>
  <c r="AP348" i="5"/>
  <c r="BI348" i="5" s="1"/>
  <c r="AP390" i="5"/>
  <c r="BI390" i="5" s="1"/>
  <c r="AP497" i="5"/>
  <c r="BI497" i="5" s="1"/>
  <c r="AP179" i="5"/>
  <c r="BI179" i="5" s="1"/>
  <c r="AP371" i="5"/>
  <c r="BI371" i="5" s="1"/>
  <c r="AP511" i="5"/>
  <c r="BI511" i="5" s="1"/>
  <c r="AP543" i="5"/>
  <c r="AR543" i="5" s="1"/>
  <c r="AP452" i="5"/>
  <c r="AQ452" i="5" s="1"/>
  <c r="AP261" i="5"/>
  <c r="AQ261" i="5" s="1"/>
  <c r="AP465" i="5"/>
  <c r="AR465" i="5" s="1"/>
  <c r="AP54" i="5"/>
  <c r="AR54" i="5" s="1"/>
  <c r="AP211" i="5"/>
  <c r="AR211" i="5" s="1"/>
  <c r="AP287" i="5"/>
  <c r="BI287" i="5" s="1"/>
  <c r="BB10" i="5"/>
  <c r="H32" i="1"/>
  <c r="B63" i="2"/>
  <c r="B66" i="2"/>
  <c r="B80" i="2"/>
  <c r="R10" i="5"/>
  <c r="BC10" i="5"/>
  <c r="BD10" i="5" s="1"/>
  <c r="AJ9" i="5"/>
  <c r="AK9" i="5" s="1"/>
  <c r="AY10" i="5"/>
  <c r="B38" i="2"/>
  <c r="H21" i="1" s="1"/>
  <c r="AG9" i="5"/>
  <c r="AP10" i="5"/>
  <c r="AQ10" i="5" s="1"/>
  <c r="BI395" i="5"/>
  <c r="AR395" i="5"/>
  <c r="AQ395" i="5"/>
  <c r="BI108" i="5"/>
  <c r="AQ108" i="5"/>
  <c r="AR108" i="5"/>
  <c r="BI172" i="5"/>
  <c r="AR172" i="5"/>
  <c r="AQ172" i="5"/>
  <c r="BI364" i="5"/>
  <c r="AQ364" i="5"/>
  <c r="AR364" i="5"/>
  <c r="BI428" i="5"/>
  <c r="AQ428" i="5"/>
  <c r="AR428" i="5"/>
  <c r="AQ492" i="5"/>
  <c r="BI556" i="5"/>
  <c r="AR556" i="5"/>
  <c r="AQ556" i="5"/>
  <c r="BI81" i="5"/>
  <c r="AQ81" i="5"/>
  <c r="AR81" i="5"/>
  <c r="BI145" i="5"/>
  <c r="AQ145" i="5"/>
  <c r="AR145" i="5"/>
  <c r="BI209" i="5"/>
  <c r="AR209" i="5"/>
  <c r="AQ209" i="5"/>
  <c r="AR150" i="5"/>
  <c r="BI150" i="5"/>
  <c r="AQ150" i="5"/>
  <c r="BI13" i="5"/>
  <c r="AR13" i="5"/>
  <c r="AQ13" i="5"/>
  <c r="AR159" i="5"/>
  <c r="BI159" i="5"/>
  <c r="AQ159" i="5"/>
  <c r="BI223" i="5"/>
  <c r="AQ223" i="5"/>
  <c r="AR223" i="5"/>
  <c r="BI383" i="5"/>
  <c r="BI447" i="5"/>
  <c r="AQ447" i="5"/>
  <c r="AR447" i="5"/>
  <c r="BI96" i="5"/>
  <c r="AQ96" i="5"/>
  <c r="AR96" i="5"/>
  <c r="BI288" i="5"/>
  <c r="AQ288" i="5"/>
  <c r="AR288" i="5"/>
  <c r="AQ352" i="5"/>
  <c r="BI352" i="5"/>
  <c r="AR352" i="5"/>
  <c r="BI480" i="5"/>
  <c r="AQ480" i="5"/>
  <c r="AR480" i="5"/>
  <c r="BI133" i="5"/>
  <c r="AR133" i="5"/>
  <c r="AQ133" i="5"/>
  <c r="BI341" i="5"/>
  <c r="AR341" i="5"/>
  <c r="AQ341" i="5"/>
  <c r="BI469" i="5"/>
  <c r="AQ469" i="5"/>
  <c r="AR469" i="5"/>
  <c r="BI74" i="5"/>
  <c r="AQ74" i="5"/>
  <c r="AR74" i="5"/>
  <c r="AR330" i="5"/>
  <c r="BI330" i="5"/>
  <c r="AQ330" i="5"/>
  <c r="BI394" i="5"/>
  <c r="BI458" i="5"/>
  <c r="AR458" i="5"/>
  <c r="AQ458" i="5"/>
  <c r="BI522" i="5"/>
  <c r="AR522" i="5"/>
  <c r="AQ522" i="5"/>
  <c r="BI12" i="5"/>
  <c r="AR12" i="5"/>
  <c r="AQ12" i="5"/>
  <c r="BI243" i="5"/>
  <c r="AQ243" i="5"/>
  <c r="AR243" i="5"/>
  <c r="AQ467" i="5"/>
  <c r="BI467" i="5"/>
  <c r="AR467" i="5"/>
  <c r="AQ52" i="5"/>
  <c r="BI52" i="5"/>
  <c r="AR52" i="5"/>
  <c r="BI180" i="5"/>
  <c r="AR180" i="5"/>
  <c r="AQ180" i="5"/>
  <c r="BI500" i="5"/>
  <c r="AQ500" i="5"/>
  <c r="AR500" i="5"/>
  <c r="BI89" i="5"/>
  <c r="AQ89" i="5"/>
  <c r="AR89" i="5"/>
  <c r="BI217" i="5"/>
  <c r="AQ217" i="5"/>
  <c r="AR217" i="5"/>
  <c r="BI473" i="5"/>
  <c r="AQ473" i="5"/>
  <c r="AR473" i="5"/>
  <c r="BI78" i="5"/>
  <c r="AR78" i="5"/>
  <c r="AQ78" i="5"/>
  <c r="AR526" i="5"/>
  <c r="BI526" i="5"/>
  <c r="AQ526" i="5"/>
  <c r="AR151" i="5"/>
  <c r="BI551" i="5"/>
  <c r="AR551" i="5"/>
  <c r="AQ551" i="5"/>
  <c r="AR136" i="5"/>
  <c r="BI136" i="5"/>
  <c r="AQ136" i="5"/>
  <c r="BI200" i="5"/>
  <c r="AR200" i="5"/>
  <c r="AQ200" i="5"/>
  <c r="BI456" i="5"/>
  <c r="AQ456" i="5"/>
  <c r="AR456" i="5"/>
  <c r="AR45" i="5"/>
  <c r="BI45" i="5"/>
  <c r="AQ45" i="5"/>
  <c r="AQ109" i="5"/>
  <c r="BI109" i="5"/>
  <c r="AR109" i="5"/>
  <c r="BI253" i="5"/>
  <c r="AR253" i="5"/>
  <c r="AQ253" i="5"/>
  <c r="BI317" i="5"/>
  <c r="AQ317" i="5"/>
  <c r="AR317" i="5"/>
  <c r="AQ445" i="5"/>
  <c r="BI445" i="5"/>
  <c r="AR445" i="5"/>
  <c r="AQ509" i="5"/>
  <c r="BI509" i="5"/>
  <c r="AR509" i="5"/>
  <c r="BI226" i="5"/>
  <c r="AQ226" i="5"/>
  <c r="AR226" i="5"/>
  <c r="BI278" i="5"/>
  <c r="AR278" i="5"/>
  <c r="AQ278" i="5"/>
  <c r="BI342" i="5"/>
  <c r="AQ342" i="5"/>
  <c r="AR342" i="5"/>
  <c r="AN10" i="5"/>
  <c r="AO10" i="5"/>
  <c r="BI241" i="5"/>
  <c r="AR241" i="5"/>
  <c r="AQ241" i="5"/>
  <c r="AR530" i="5"/>
  <c r="BI530" i="5"/>
  <c r="AQ530" i="5"/>
  <c r="BI339" i="5"/>
  <c r="AQ339" i="5"/>
  <c r="AR339" i="5"/>
  <c r="BI139" i="5"/>
  <c r="AQ139" i="5"/>
  <c r="AR139" i="5"/>
  <c r="AQ203" i="5"/>
  <c r="BI331" i="5"/>
  <c r="AQ331" i="5"/>
  <c r="AR331" i="5"/>
  <c r="BI539" i="5"/>
  <c r="AR539" i="5"/>
  <c r="AQ539" i="5"/>
  <c r="BI188" i="5"/>
  <c r="AQ188" i="5"/>
  <c r="AR188" i="5"/>
  <c r="AR316" i="5"/>
  <c r="BI31" i="5"/>
  <c r="AQ31" i="5"/>
  <c r="AR31" i="5"/>
  <c r="AQ97" i="5"/>
  <c r="BI97" i="5"/>
  <c r="AR97" i="5"/>
  <c r="BI225" i="5"/>
  <c r="AR225" i="5"/>
  <c r="AQ225" i="5"/>
  <c r="BI20" i="5"/>
  <c r="AQ20" i="5"/>
  <c r="AR20" i="5"/>
  <c r="BI47" i="5"/>
  <c r="AQ47" i="5"/>
  <c r="AR47" i="5"/>
  <c r="BI175" i="5"/>
  <c r="AR175" i="5"/>
  <c r="AQ175" i="5"/>
  <c r="AQ239" i="5"/>
  <c r="BI239" i="5"/>
  <c r="AR239" i="5"/>
  <c r="BI399" i="5"/>
  <c r="AQ399" i="5"/>
  <c r="AR399" i="5"/>
  <c r="BI240" i="5"/>
  <c r="AQ240" i="5"/>
  <c r="AR240" i="5"/>
  <c r="BI304" i="5"/>
  <c r="AQ304" i="5"/>
  <c r="AR304" i="5"/>
  <c r="BI368" i="5"/>
  <c r="AR368" i="5"/>
  <c r="AQ368" i="5"/>
  <c r="AQ85" i="5"/>
  <c r="BI85" i="5"/>
  <c r="AR85" i="5"/>
  <c r="BI485" i="5"/>
  <c r="AQ485" i="5"/>
  <c r="AR485" i="5"/>
  <c r="BI90" i="5"/>
  <c r="AQ90" i="5"/>
  <c r="AR90" i="5"/>
  <c r="BI154" i="5"/>
  <c r="AR154" i="5"/>
  <c r="AQ154" i="5"/>
  <c r="BI282" i="5"/>
  <c r="AQ282" i="5"/>
  <c r="AR282" i="5"/>
  <c r="BI410" i="5"/>
  <c r="AQ410" i="5"/>
  <c r="AR410" i="5"/>
  <c r="AQ538" i="5"/>
  <c r="BI538" i="5"/>
  <c r="AR538" i="5"/>
  <c r="BI51" i="5"/>
  <c r="AR51" i="5"/>
  <c r="AQ51" i="5"/>
  <c r="BI323" i="5"/>
  <c r="BI196" i="5"/>
  <c r="AR196" i="5"/>
  <c r="AQ196" i="5"/>
  <c r="AR324" i="5"/>
  <c r="BI324" i="5"/>
  <c r="AQ324" i="5"/>
  <c r="BI388" i="5"/>
  <c r="AQ388" i="5"/>
  <c r="AR388" i="5"/>
  <c r="AR516" i="5"/>
  <c r="BI516" i="5"/>
  <c r="AQ516" i="5"/>
  <c r="BI233" i="5"/>
  <c r="AR233" i="5"/>
  <c r="AQ233" i="5"/>
  <c r="BI361" i="5"/>
  <c r="AR361" i="5"/>
  <c r="AQ361" i="5"/>
  <c r="BI425" i="5"/>
  <c r="BI28" i="5"/>
  <c r="AR28" i="5"/>
  <c r="AQ28" i="5"/>
  <c r="BI222" i="5"/>
  <c r="AQ222" i="5"/>
  <c r="AR222" i="5"/>
  <c r="BI350" i="5"/>
  <c r="AQ350" i="5"/>
  <c r="AR350" i="5"/>
  <c r="AQ542" i="5"/>
  <c r="AR542" i="5"/>
  <c r="BI167" i="5"/>
  <c r="AR167" i="5"/>
  <c r="AQ167" i="5"/>
  <c r="AQ26" i="5"/>
  <c r="BI26" i="5"/>
  <c r="AR26" i="5"/>
  <c r="AR152" i="5"/>
  <c r="BI152" i="5"/>
  <c r="AQ152" i="5"/>
  <c r="AQ461" i="5"/>
  <c r="BI461" i="5"/>
  <c r="AR461" i="5"/>
  <c r="BI525" i="5"/>
  <c r="BI114" i="5"/>
  <c r="AR114" i="5"/>
  <c r="AQ114" i="5"/>
  <c r="BI178" i="5"/>
  <c r="AQ178" i="5"/>
  <c r="AR178" i="5"/>
  <c r="BI242" i="5"/>
  <c r="AR242" i="5"/>
  <c r="AQ242" i="5"/>
  <c r="BI306" i="5"/>
  <c r="AR306" i="5"/>
  <c r="AQ306" i="5"/>
  <c r="BI294" i="5"/>
  <c r="AR294" i="5"/>
  <c r="AQ294" i="5"/>
  <c r="BI358" i="5"/>
  <c r="AQ358" i="5"/>
  <c r="AR358" i="5"/>
  <c r="AH10" i="5"/>
  <c r="AI10" i="5"/>
  <c r="AQ229" i="5"/>
  <c r="AQ546" i="5"/>
  <c r="BI546" i="5"/>
  <c r="AR546" i="5"/>
  <c r="BI7" i="5"/>
  <c r="AR7" i="5"/>
  <c r="AQ7" i="5"/>
  <c r="BI219" i="5"/>
  <c r="AQ219" i="5"/>
  <c r="AR219" i="5"/>
  <c r="AQ283" i="5"/>
  <c r="BI283" i="5"/>
  <c r="AR283" i="5"/>
  <c r="BI363" i="5"/>
  <c r="AR363" i="5"/>
  <c r="AQ363" i="5"/>
  <c r="BI427" i="5"/>
  <c r="AR427" i="5"/>
  <c r="AQ427" i="5"/>
  <c r="AQ491" i="5"/>
  <c r="BI491" i="5"/>
  <c r="AR491" i="5"/>
  <c r="BI76" i="5"/>
  <c r="AQ76" i="5"/>
  <c r="AR76" i="5"/>
  <c r="BI204" i="5"/>
  <c r="AQ204" i="5"/>
  <c r="AR204" i="5"/>
  <c r="AR524" i="5"/>
  <c r="BI524" i="5"/>
  <c r="AQ524" i="5"/>
  <c r="BI177" i="5"/>
  <c r="AQ177" i="5"/>
  <c r="AR177" i="5"/>
  <c r="AR385" i="5"/>
  <c r="AQ449" i="5"/>
  <c r="BI449" i="5"/>
  <c r="AR449" i="5"/>
  <c r="BI36" i="5"/>
  <c r="AR36" i="5"/>
  <c r="AQ36" i="5"/>
  <c r="BI118" i="5"/>
  <c r="AR118" i="5"/>
  <c r="AQ118" i="5"/>
  <c r="AR63" i="5"/>
  <c r="BI63" i="5"/>
  <c r="AQ63" i="5"/>
  <c r="BI191" i="5"/>
  <c r="AQ191" i="5"/>
  <c r="AR191" i="5"/>
  <c r="AQ479" i="5"/>
  <c r="BI479" i="5"/>
  <c r="AR479" i="5"/>
  <c r="BI64" i="5"/>
  <c r="AQ64" i="5"/>
  <c r="AR64" i="5"/>
  <c r="BI256" i="5"/>
  <c r="AR256" i="5"/>
  <c r="AQ256" i="5"/>
  <c r="BI320" i="5"/>
  <c r="AR320" i="5"/>
  <c r="AQ320" i="5"/>
  <c r="BI384" i="5"/>
  <c r="BI448" i="5"/>
  <c r="AR448" i="5"/>
  <c r="BI35" i="5"/>
  <c r="AR35" i="5"/>
  <c r="AQ35" i="5"/>
  <c r="BI165" i="5"/>
  <c r="AQ165" i="5"/>
  <c r="AR165" i="5"/>
  <c r="BI309" i="5"/>
  <c r="AR309" i="5"/>
  <c r="AQ309" i="5"/>
  <c r="BI373" i="5"/>
  <c r="AQ373" i="5"/>
  <c r="AR373" i="5"/>
  <c r="BI40" i="5"/>
  <c r="AR40" i="5"/>
  <c r="BI106" i="5"/>
  <c r="AQ106" i="5"/>
  <c r="AR106" i="5"/>
  <c r="AR170" i="5"/>
  <c r="BI170" i="5"/>
  <c r="AQ170" i="5"/>
  <c r="BI234" i="5"/>
  <c r="AQ234" i="5"/>
  <c r="AR234" i="5"/>
  <c r="AQ362" i="5"/>
  <c r="AR362" i="5"/>
  <c r="AR67" i="5"/>
  <c r="BI67" i="5"/>
  <c r="AQ67" i="5"/>
  <c r="AQ275" i="5"/>
  <c r="BI275" i="5"/>
  <c r="AR275" i="5"/>
  <c r="AQ22" i="5"/>
  <c r="BI22" i="5"/>
  <c r="AR22" i="5"/>
  <c r="BI84" i="5"/>
  <c r="AQ84" i="5"/>
  <c r="AR84" i="5"/>
  <c r="BI212" i="5"/>
  <c r="AR212" i="5"/>
  <c r="AQ212" i="5"/>
  <c r="BI404" i="5"/>
  <c r="AQ404" i="5"/>
  <c r="AR404" i="5"/>
  <c r="BI468" i="5"/>
  <c r="AR468" i="5"/>
  <c r="AQ468" i="5"/>
  <c r="BI57" i="5"/>
  <c r="AR57" i="5"/>
  <c r="AQ57" i="5"/>
  <c r="BI110" i="5"/>
  <c r="AR110" i="5"/>
  <c r="AQ110" i="5"/>
  <c r="AR174" i="5"/>
  <c r="BI174" i="5"/>
  <c r="AQ174" i="5"/>
  <c r="BI55" i="5"/>
  <c r="AQ55" i="5"/>
  <c r="AR55" i="5"/>
  <c r="AQ42" i="5"/>
  <c r="BI42" i="5"/>
  <c r="AR42" i="5"/>
  <c r="BI232" i="5"/>
  <c r="AQ232" i="5"/>
  <c r="AR232" i="5"/>
  <c r="BI360" i="5"/>
  <c r="AQ360" i="5"/>
  <c r="AR360" i="5"/>
  <c r="BI424" i="5"/>
  <c r="AQ424" i="5"/>
  <c r="AR424" i="5"/>
  <c r="BI488" i="5"/>
  <c r="AR488" i="5"/>
  <c r="AQ488" i="5"/>
  <c r="BI77" i="5"/>
  <c r="AQ77" i="5"/>
  <c r="AR77" i="5"/>
  <c r="AR141" i="5"/>
  <c r="BI141" i="5"/>
  <c r="AQ141" i="5"/>
  <c r="BI205" i="5"/>
  <c r="AR205" i="5"/>
  <c r="AQ205" i="5"/>
  <c r="BI285" i="5"/>
  <c r="AQ285" i="5"/>
  <c r="AR285" i="5"/>
  <c r="AQ413" i="5"/>
  <c r="BI413" i="5"/>
  <c r="AR413" i="5"/>
  <c r="BI477" i="5"/>
  <c r="AQ477" i="5"/>
  <c r="AR477" i="5"/>
  <c r="BI541" i="5"/>
  <c r="AR541" i="5"/>
  <c r="AQ541" i="5"/>
  <c r="BI66" i="5"/>
  <c r="AQ66" i="5"/>
  <c r="AR66" i="5"/>
  <c r="BI130" i="5"/>
  <c r="BI258" i="5"/>
  <c r="AQ258" i="5"/>
  <c r="AR258" i="5"/>
  <c r="AR322" i="5"/>
  <c r="BI322" i="5"/>
  <c r="AQ322" i="5"/>
  <c r="AR25" i="5"/>
  <c r="AK10" i="5"/>
  <c r="AL10" i="5"/>
  <c r="AN9" i="5"/>
  <c r="AO9" i="5"/>
  <c r="AC19" i="5"/>
  <c r="AE19" i="5" s="1"/>
  <c r="BI107" i="5"/>
  <c r="AQ107" i="5"/>
  <c r="AR107" i="5"/>
  <c r="BI379" i="5"/>
  <c r="AQ30" i="5"/>
  <c r="BI30" i="5"/>
  <c r="AR30" i="5"/>
  <c r="BI156" i="5"/>
  <c r="AQ156" i="5"/>
  <c r="AR156" i="5"/>
  <c r="AQ220" i="5"/>
  <c r="BI220" i="5"/>
  <c r="AR220" i="5"/>
  <c r="BI284" i="5"/>
  <c r="AQ284" i="5"/>
  <c r="AR284" i="5"/>
  <c r="BI412" i="5"/>
  <c r="AQ412" i="5"/>
  <c r="AR412" i="5"/>
  <c r="BI476" i="5"/>
  <c r="AQ476" i="5"/>
  <c r="BI193" i="5"/>
  <c r="AR193" i="5"/>
  <c r="AQ193" i="5"/>
  <c r="BI337" i="5"/>
  <c r="AQ337" i="5"/>
  <c r="AR337" i="5"/>
  <c r="BI134" i="5"/>
  <c r="AQ134" i="5"/>
  <c r="AR134" i="5"/>
  <c r="BI79" i="5"/>
  <c r="AR79" i="5"/>
  <c r="AQ79" i="5"/>
  <c r="BI207" i="5"/>
  <c r="AQ207" i="5"/>
  <c r="AR207" i="5"/>
  <c r="BI495" i="5"/>
  <c r="BI559" i="5"/>
  <c r="AR559" i="5"/>
  <c r="AQ559" i="5"/>
  <c r="BI80" i="5"/>
  <c r="AR80" i="5"/>
  <c r="AQ80" i="5"/>
  <c r="BI208" i="5"/>
  <c r="AQ208" i="5"/>
  <c r="AR208" i="5"/>
  <c r="BI272" i="5"/>
  <c r="AR272" i="5"/>
  <c r="AQ272" i="5"/>
  <c r="AQ336" i="5"/>
  <c r="BI336" i="5"/>
  <c r="AR336" i="5"/>
  <c r="BI528" i="5"/>
  <c r="AR528" i="5"/>
  <c r="AQ528" i="5"/>
  <c r="BI53" i="5"/>
  <c r="AQ53" i="5"/>
  <c r="AR53" i="5"/>
  <c r="AQ186" i="5"/>
  <c r="BI186" i="5"/>
  <c r="AR186" i="5"/>
  <c r="BI506" i="5"/>
  <c r="AR506" i="5"/>
  <c r="AQ506" i="5"/>
  <c r="BI227" i="5"/>
  <c r="AR227" i="5"/>
  <c r="AQ227" i="5"/>
  <c r="BI387" i="5"/>
  <c r="AR387" i="5"/>
  <c r="AQ387" i="5"/>
  <c r="BI515" i="5"/>
  <c r="AR515" i="5"/>
  <c r="AQ515" i="5"/>
  <c r="BI100" i="5"/>
  <c r="AQ100" i="5"/>
  <c r="AR100" i="5"/>
  <c r="AR164" i="5"/>
  <c r="BI228" i="5"/>
  <c r="AQ228" i="5"/>
  <c r="AR228" i="5"/>
  <c r="BI292" i="5"/>
  <c r="AR292" i="5"/>
  <c r="AQ292" i="5"/>
  <c r="AQ356" i="5"/>
  <c r="BI356" i="5"/>
  <c r="AR356" i="5"/>
  <c r="AQ137" i="5"/>
  <c r="BI137" i="5"/>
  <c r="AR137" i="5"/>
  <c r="BI201" i="5"/>
  <c r="AQ201" i="5"/>
  <c r="AR201" i="5"/>
  <c r="BI265" i="5"/>
  <c r="AQ265" i="5"/>
  <c r="AR265" i="5"/>
  <c r="BI329" i="5"/>
  <c r="BI62" i="5"/>
  <c r="AR62" i="5"/>
  <c r="AQ62" i="5"/>
  <c r="AQ190" i="5"/>
  <c r="BI190" i="5"/>
  <c r="AR190" i="5"/>
  <c r="BI254" i="5"/>
  <c r="AQ254" i="5"/>
  <c r="AR254" i="5"/>
  <c r="BI446" i="5"/>
  <c r="AR446" i="5"/>
  <c r="AQ446" i="5"/>
  <c r="AR510" i="5"/>
  <c r="BI510" i="5"/>
  <c r="AR71" i="5"/>
  <c r="BI71" i="5"/>
  <c r="AQ71" i="5"/>
  <c r="BI199" i="5"/>
  <c r="AR199" i="5"/>
  <c r="AQ199" i="5"/>
  <c r="BI535" i="5"/>
  <c r="AR535" i="5"/>
  <c r="AQ535" i="5"/>
  <c r="BI56" i="5"/>
  <c r="AQ56" i="5"/>
  <c r="AR56" i="5"/>
  <c r="BI120" i="5"/>
  <c r="AQ120" i="5"/>
  <c r="AR120" i="5"/>
  <c r="BI184" i="5"/>
  <c r="AR184" i="5"/>
  <c r="AQ184" i="5"/>
  <c r="BI376" i="5"/>
  <c r="AR376" i="5"/>
  <c r="AQ376" i="5"/>
  <c r="BI440" i="5"/>
  <c r="AQ440" i="5"/>
  <c r="AR440" i="5"/>
  <c r="BI504" i="5"/>
  <c r="AQ504" i="5"/>
  <c r="AR504" i="5"/>
  <c r="BI27" i="5"/>
  <c r="AQ27" i="5"/>
  <c r="AR27" i="5"/>
  <c r="AQ93" i="5"/>
  <c r="BI93" i="5"/>
  <c r="AR93" i="5"/>
  <c r="BI466" i="5"/>
  <c r="AQ466" i="5"/>
  <c r="AR466" i="5"/>
  <c r="BI326" i="5"/>
  <c r="AR326" i="5"/>
  <c r="AQ326" i="5"/>
  <c r="BI41" i="5"/>
  <c r="AR41" i="5"/>
  <c r="AQ41" i="5"/>
  <c r="BI37" i="5"/>
  <c r="AR37" i="5"/>
  <c r="AQ37" i="5"/>
  <c r="BI83" i="5"/>
  <c r="AR83" i="5"/>
  <c r="AQ83" i="5"/>
  <c r="BI355" i="5"/>
  <c r="AQ355" i="5"/>
  <c r="AR355" i="5"/>
  <c r="AH11" i="5"/>
  <c r="AI11" i="5"/>
  <c r="B227" i="2"/>
  <c r="B228" i="2" s="1"/>
  <c r="B229" i="2" s="1"/>
  <c r="B223" i="2"/>
  <c r="AC536" i="5"/>
  <c r="AD536" i="5" s="1"/>
  <c r="Y59" i="5"/>
  <c r="AA10" i="5"/>
  <c r="AB7" i="5"/>
  <c r="AA7" i="5"/>
  <c r="AC475" i="5"/>
  <c r="BF475" i="5" s="1"/>
  <c r="X434" i="5"/>
  <c r="X223" i="5"/>
  <c r="X64" i="5"/>
  <c r="X551" i="5"/>
  <c r="Y486" i="5"/>
  <c r="X525" i="5"/>
  <c r="AC447" i="5"/>
  <c r="BF447" i="5" s="1"/>
  <c r="BG447" i="5" s="1"/>
  <c r="Y154" i="5"/>
  <c r="AC238" i="5"/>
  <c r="BF238" i="5" s="1"/>
  <c r="AC376" i="5"/>
  <c r="AD376" i="5" s="1"/>
  <c r="AC537" i="5"/>
  <c r="AD537" i="5" s="1"/>
  <c r="AC468" i="5"/>
  <c r="BF468" i="5" s="1"/>
  <c r="BG468" i="5" s="1"/>
  <c r="X515" i="5"/>
  <c r="Y206" i="5"/>
  <c r="Y514" i="5"/>
  <c r="Y266" i="5"/>
  <c r="Y29" i="5"/>
  <c r="Y87" i="5"/>
  <c r="Y252" i="5"/>
  <c r="Y415" i="5"/>
  <c r="X427" i="5"/>
  <c r="Y373" i="5"/>
  <c r="Y216" i="5"/>
  <c r="Y281" i="5"/>
  <c r="X475" i="5"/>
  <c r="X448" i="5"/>
  <c r="Y380" i="5"/>
  <c r="Y396" i="5"/>
  <c r="X560" i="5"/>
  <c r="X557" i="5"/>
  <c r="Y555" i="5"/>
  <c r="Y45" i="5"/>
  <c r="X58" i="5"/>
  <c r="X310" i="5"/>
  <c r="Y337" i="5"/>
  <c r="AC515" i="5"/>
  <c r="AD515" i="5" s="1"/>
  <c r="Y200" i="5"/>
  <c r="X455" i="5"/>
  <c r="X552" i="5"/>
  <c r="Y235" i="5"/>
  <c r="X548" i="5"/>
  <c r="X152" i="5"/>
  <c r="X44" i="5"/>
  <c r="X202" i="5"/>
  <c r="Y410" i="5"/>
  <c r="X540" i="5"/>
  <c r="X125" i="5"/>
  <c r="X160" i="5"/>
  <c r="Y255" i="5"/>
  <c r="Y307" i="5"/>
  <c r="Y318" i="5"/>
  <c r="X528" i="5"/>
  <c r="X547" i="5"/>
  <c r="Y143" i="5"/>
  <c r="X315" i="5"/>
  <c r="Y268" i="5"/>
  <c r="Y343" i="5"/>
  <c r="Y376" i="5"/>
  <c r="Y353" i="5"/>
  <c r="Y365" i="5"/>
  <c r="Y72" i="5"/>
  <c r="Y134" i="5"/>
  <c r="X329" i="5"/>
  <c r="X335" i="5"/>
  <c r="Y186" i="5"/>
  <c r="X546" i="5"/>
  <c r="X27" i="5"/>
  <c r="X508" i="5"/>
  <c r="X472" i="5"/>
  <c r="Y379" i="5"/>
  <c r="AC290" i="5"/>
  <c r="BF290" i="5" s="1"/>
  <c r="AC547" i="5"/>
  <c r="AD547" i="5" s="1"/>
  <c r="AC281" i="5"/>
  <c r="BF281" i="5" s="1"/>
  <c r="AC427" i="5"/>
  <c r="AE427" i="5" s="1"/>
  <c r="AC514" i="5"/>
  <c r="AE514" i="5" s="1"/>
  <c r="AC44" i="5"/>
  <c r="AE44" i="5" s="1"/>
  <c r="Y239" i="5"/>
  <c r="Y467" i="5"/>
  <c r="Y253" i="5"/>
  <c r="Y444" i="5"/>
  <c r="X541" i="5"/>
  <c r="X488" i="5"/>
  <c r="Y440" i="5"/>
  <c r="Y531" i="5"/>
  <c r="AB257" i="5"/>
  <c r="X320" i="5"/>
  <c r="Y107" i="5"/>
  <c r="X498" i="5"/>
  <c r="X484" i="5"/>
  <c r="X115" i="5"/>
  <c r="X301" i="5"/>
  <c r="Y190" i="5"/>
  <c r="X214" i="5"/>
  <c r="X375" i="5"/>
  <c r="X559" i="5"/>
  <c r="AB536" i="5"/>
  <c r="X398" i="5"/>
  <c r="Y339" i="5"/>
  <c r="X536" i="5"/>
  <c r="Y524" i="5"/>
  <c r="Y554" i="5"/>
  <c r="Y99" i="5"/>
  <c r="Y332" i="5"/>
  <c r="Y446" i="5"/>
  <c r="AA241" i="5"/>
  <c r="AC554" i="5"/>
  <c r="AE554" i="5" s="1"/>
  <c r="X132" i="5"/>
  <c r="X243" i="5"/>
  <c r="Y346" i="5"/>
  <c r="Y236" i="5"/>
  <c r="X462" i="5"/>
  <c r="Y181" i="5"/>
  <c r="AA495" i="5"/>
  <c r="X378" i="5"/>
  <c r="Y402" i="5"/>
  <c r="X102" i="5"/>
  <c r="Y158" i="5"/>
  <c r="Y97" i="5"/>
  <c r="X194" i="5"/>
  <c r="X231" i="5"/>
  <c r="Y251" i="5"/>
  <c r="X259" i="5"/>
  <c r="Y361" i="5"/>
  <c r="Y411" i="5"/>
  <c r="X438" i="5"/>
  <c r="Y523" i="5"/>
  <c r="Y500" i="5"/>
  <c r="Y530" i="5"/>
  <c r="Y70" i="5"/>
  <c r="X305" i="5"/>
  <c r="Y407" i="5"/>
  <c r="Y430" i="5"/>
  <c r="X491" i="5"/>
  <c r="X453" i="5"/>
  <c r="Y544" i="5"/>
  <c r="X533" i="5"/>
  <c r="AC486" i="5"/>
  <c r="AD486" i="5" s="1"/>
  <c r="X128" i="5"/>
  <c r="X248" i="5"/>
  <c r="X238" i="5"/>
  <c r="Y308" i="5"/>
  <c r="X328" i="5"/>
  <c r="Y357" i="5"/>
  <c r="Y217" i="5"/>
  <c r="Y456" i="5"/>
  <c r="Y492" i="5"/>
  <c r="AB475" i="5"/>
  <c r="Y421" i="5"/>
  <c r="Y503" i="5"/>
  <c r="X451" i="5"/>
  <c r="X537" i="5"/>
  <c r="AC206" i="5"/>
  <c r="BF206" i="5" s="1"/>
  <c r="X273" i="5"/>
  <c r="X404" i="5"/>
  <c r="Y558" i="5"/>
  <c r="Y385" i="5"/>
  <c r="AB96" i="5"/>
  <c r="Y126" i="5"/>
  <c r="Y277" i="5"/>
  <c r="Y284" i="5"/>
  <c r="Y485" i="5"/>
  <c r="X35" i="5"/>
  <c r="X177" i="5"/>
  <c r="X351" i="5"/>
  <c r="X285" i="5"/>
  <c r="X535" i="5"/>
  <c r="Y502" i="5"/>
  <c r="X534" i="5"/>
  <c r="AA199" i="5"/>
  <c r="X136" i="5"/>
  <c r="Y369" i="5"/>
  <c r="Y545" i="5"/>
  <c r="X474" i="5"/>
  <c r="AB211" i="5"/>
  <c r="AB547" i="5"/>
  <c r="Y41" i="5"/>
  <c r="Y196" i="5"/>
  <c r="X370" i="5"/>
  <c r="Y371" i="5"/>
  <c r="Y487" i="5"/>
  <c r="X441" i="5"/>
  <c r="X468" i="5"/>
  <c r="X549" i="5"/>
  <c r="Y386" i="5"/>
  <c r="X481" i="5"/>
  <c r="AC310" i="5"/>
  <c r="AD310" i="5" s="1"/>
  <c r="AC411" i="5"/>
  <c r="AE411" i="5" s="1"/>
  <c r="AC455" i="5"/>
  <c r="AD455" i="5" s="1"/>
  <c r="AC462" i="5"/>
  <c r="BF462" i="5" s="1"/>
  <c r="BG462" i="5" s="1"/>
  <c r="AC345" i="5"/>
  <c r="AD345" i="5" s="1"/>
  <c r="AC395" i="5"/>
  <c r="BF395" i="5" s="1"/>
  <c r="BG395" i="5" s="1"/>
  <c r="AC493" i="5"/>
  <c r="BF493" i="5" s="1"/>
  <c r="BG493" i="5" s="1"/>
  <c r="AC35" i="5"/>
  <c r="AD35" i="5" s="1"/>
  <c r="AC560" i="5"/>
  <c r="AD560" i="5" s="1"/>
  <c r="AC186" i="5"/>
  <c r="AE186" i="5" s="1"/>
  <c r="X123" i="5"/>
  <c r="Y429" i="5"/>
  <c r="X275" i="5"/>
  <c r="X499" i="5"/>
  <c r="X43" i="5"/>
  <c r="X40" i="5"/>
  <c r="X86" i="5"/>
  <c r="X137" i="5"/>
  <c r="Y246" i="5"/>
  <c r="Y211" i="5"/>
  <c r="Y213" i="5"/>
  <c r="Y345" i="5"/>
  <c r="Y395" i="5"/>
  <c r="X364" i="5"/>
  <c r="Y490" i="5"/>
  <c r="X447" i="5"/>
  <c r="X296" i="5"/>
  <c r="AB26" i="5"/>
  <c r="AA168" i="5"/>
  <c r="AA540" i="5"/>
  <c r="X387" i="5"/>
  <c r="X470" i="5"/>
  <c r="X509" i="5"/>
  <c r="X414" i="5"/>
  <c r="Y464" i="5"/>
  <c r="Y425" i="5"/>
  <c r="AB34" i="5"/>
  <c r="AA547" i="5"/>
  <c r="AC490" i="5"/>
  <c r="AE490" i="5" s="1"/>
  <c r="X96" i="5"/>
  <c r="X227" i="5"/>
  <c r="Y265" i="5"/>
  <c r="X292" i="5"/>
  <c r="Y450" i="5"/>
  <c r="X471" i="5"/>
  <c r="X261" i="5"/>
  <c r="Y418" i="5"/>
  <c r="Y518" i="5"/>
  <c r="X428" i="5"/>
  <c r="Y389" i="5"/>
  <c r="Y454" i="5"/>
  <c r="Y556" i="5"/>
  <c r="AC57" i="5"/>
  <c r="BF57" i="5" s="1"/>
  <c r="AC556" i="5"/>
  <c r="AE556" i="5" s="1"/>
  <c r="AC58" i="5"/>
  <c r="AE58" i="5" s="1"/>
  <c r="AC226" i="5"/>
  <c r="AD226" i="5" s="1"/>
  <c r="X360" i="5"/>
  <c r="X479" i="5"/>
  <c r="Y391" i="5"/>
  <c r="X495" i="5"/>
  <c r="Y76" i="5"/>
  <c r="X31" i="5"/>
  <c r="Y119" i="5"/>
  <c r="Y229" i="5"/>
  <c r="Y354" i="5"/>
  <c r="Y460" i="5"/>
  <c r="Y439" i="5"/>
  <c r="AC414" i="5"/>
  <c r="AD414" i="5" s="1"/>
  <c r="X195" i="5"/>
  <c r="X422" i="5"/>
  <c r="AB35" i="5"/>
  <c r="AA427" i="5"/>
  <c r="X226" i="5"/>
  <c r="X313" i="5"/>
  <c r="Y416" i="5"/>
  <c r="X420" i="5"/>
  <c r="Y423" i="5"/>
  <c r="Y527" i="5"/>
  <c r="X538" i="5"/>
  <c r="X19" i="5"/>
  <c r="AA475" i="5"/>
  <c r="AC557" i="5"/>
  <c r="BF557" i="5" s="1"/>
  <c r="X349" i="5"/>
  <c r="X449" i="5"/>
  <c r="Y436" i="5"/>
  <c r="Y493" i="5"/>
  <c r="Y452" i="5"/>
  <c r="AC487" i="5"/>
  <c r="AD487" i="5" s="1"/>
  <c r="AC349" i="5"/>
  <c r="AD349" i="5" s="1"/>
  <c r="AC478" i="5"/>
  <c r="AE478" i="5" s="1"/>
  <c r="AC351" i="5"/>
  <c r="AD351" i="5" s="1"/>
  <c r="AC377" i="5"/>
  <c r="AD377" i="5" s="1"/>
  <c r="AC375" i="5"/>
  <c r="AD375" i="5" s="1"/>
  <c r="AC378" i="5"/>
  <c r="AD378" i="5" s="1"/>
  <c r="AC500" i="5"/>
  <c r="AE500" i="5" s="1"/>
  <c r="AC484" i="5"/>
  <c r="BF484" i="5" s="1"/>
  <c r="BG484" i="5" s="1"/>
  <c r="X103" i="5"/>
  <c r="X496" i="5"/>
  <c r="Y417" i="5"/>
  <c r="X507" i="5"/>
  <c r="AC320" i="5"/>
  <c r="AE320" i="5" s="1"/>
  <c r="Y176" i="5"/>
  <c r="Y169" i="5"/>
  <c r="Y180" i="5"/>
  <c r="Y366" i="5"/>
  <c r="Y469" i="5"/>
  <c r="Y480" i="5"/>
  <c r="Y150" i="5"/>
  <c r="X207" i="5"/>
  <c r="X340" i="5"/>
  <c r="Y394" i="5"/>
  <c r="X553" i="5"/>
  <c r="Y397" i="5"/>
  <c r="X465" i="5"/>
  <c r="Y443" i="5"/>
  <c r="Y513" i="5"/>
  <c r="X532" i="5"/>
  <c r="AC391" i="5"/>
  <c r="AD391" i="5" s="1"/>
  <c r="AC446" i="5"/>
  <c r="BF446" i="5" s="1"/>
  <c r="Y147" i="5"/>
  <c r="Y267" i="5"/>
  <c r="Y506" i="5"/>
  <c r="AB19" i="5"/>
  <c r="X431" i="5"/>
  <c r="X435" i="5"/>
  <c r="AC207" i="5"/>
  <c r="BF207" i="5" s="1"/>
  <c r="BH207" i="5" s="1"/>
  <c r="X85" i="5"/>
  <c r="Y297" i="5"/>
  <c r="X69" i="5"/>
  <c r="X184" i="5"/>
  <c r="Y288" i="5"/>
  <c r="X390" i="5"/>
  <c r="Y466" i="5"/>
  <c r="Y388" i="5"/>
  <c r="X23" i="5"/>
  <c r="Y218" i="5"/>
  <c r="Y287" i="5"/>
  <c r="X289" i="5"/>
  <c r="Y298" i="5"/>
  <c r="X504" i="5"/>
  <c r="Y437" i="5"/>
  <c r="AC440" i="5"/>
  <c r="AD440" i="5" s="1"/>
  <c r="AC553" i="5"/>
  <c r="BF553" i="5" s="1"/>
  <c r="BG553" i="5" s="1"/>
  <c r="AC479" i="5"/>
  <c r="BF479" i="5" s="1"/>
  <c r="AC498" i="5"/>
  <c r="BF498" i="5" s="1"/>
  <c r="BH498" i="5" s="1"/>
  <c r="AC360" i="5"/>
  <c r="BF360" i="5" s="1"/>
  <c r="BG360" i="5" s="1"/>
  <c r="AC509" i="5"/>
  <c r="AD509" i="5" s="1"/>
  <c r="Y458" i="5"/>
  <c r="X458" i="5"/>
  <c r="Y476" i="5"/>
  <c r="X476" i="5"/>
  <c r="Y300" i="5"/>
  <c r="X300" i="5"/>
  <c r="X463" i="5"/>
  <c r="Y463" i="5"/>
  <c r="Y110" i="5"/>
  <c r="X110" i="5"/>
  <c r="X34" i="5"/>
  <c r="AC34" i="5"/>
  <c r="AD34" i="5" s="1"/>
  <c r="X401" i="5"/>
  <c r="Y401" i="5"/>
  <c r="X73" i="5"/>
  <c r="Y66" i="5"/>
  <c r="Y148" i="5"/>
  <c r="Y209" i="5"/>
  <c r="Y323" i="5"/>
  <c r="Y381" i="5"/>
  <c r="X512" i="5"/>
  <c r="X400" i="5"/>
  <c r="X516" i="5"/>
  <c r="X324" i="5"/>
  <c r="AA359" i="5"/>
  <c r="AB359" i="5"/>
  <c r="X49" i="5"/>
  <c r="Y92" i="5"/>
  <c r="X164" i="5"/>
  <c r="Y279" i="5"/>
  <c r="X333" i="5"/>
  <c r="Y412" i="5"/>
  <c r="Y459" i="5"/>
  <c r="Y526" i="5"/>
  <c r="X482" i="5"/>
  <c r="X355" i="5"/>
  <c r="Y494" i="5"/>
  <c r="X442" i="5"/>
  <c r="AC288" i="5"/>
  <c r="AD288" i="5" s="1"/>
  <c r="AC49" i="5"/>
  <c r="BF49" i="5" s="1"/>
  <c r="AC300" i="5"/>
  <c r="AE300" i="5" s="1"/>
  <c r="AC66" i="5"/>
  <c r="BF66" i="5" s="1"/>
  <c r="BH66" i="5" s="1"/>
  <c r="AC128" i="5"/>
  <c r="BF128" i="5" s="1"/>
  <c r="BG128" i="5" s="1"/>
  <c r="AC409" i="5"/>
  <c r="AE409" i="5" s="1"/>
  <c r="AB295" i="5"/>
  <c r="AA295" i="5"/>
  <c r="X543" i="5"/>
  <c r="Y543" i="5"/>
  <c r="X290" i="5"/>
  <c r="Y290" i="5"/>
  <c r="Y426" i="5"/>
  <c r="X426" i="5"/>
  <c r="X356" i="5"/>
  <c r="Y356" i="5"/>
  <c r="Y240" i="5"/>
  <c r="X240" i="5"/>
  <c r="Y517" i="5"/>
  <c r="X517" i="5"/>
  <c r="Y473" i="5"/>
  <c r="AC473" i="5"/>
  <c r="AD473" i="5" s="1"/>
  <c r="Y403" i="5"/>
  <c r="X403" i="5"/>
  <c r="AC540" i="5"/>
  <c r="AE540" i="5" s="1"/>
  <c r="Y139" i="5"/>
  <c r="X139" i="5"/>
  <c r="X519" i="5"/>
  <c r="Y519" i="5"/>
  <c r="Y529" i="5"/>
  <c r="X529" i="5"/>
  <c r="Y406" i="5"/>
  <c r="X406" i="5"/>
  <c r="Y319" i="5"/>
  <c r="X319" i="5"/>
  <c r="Y167" i="5"/>
  <c r="X167" i="5"/>
  <c r="Y522" i="5"/>
  <c r="X522" i="5"/>
  <c r="Y511" i="5"/>
  <c r="X511" i="5"/>
  <c r="X510" i="5"/>
  <c r="Y510" i="5"/>
  <c r="X409" i="5"/>
  <c r="Y409" i="5"/>
  <c r="X10" i="5"/>
  <c r="Y10" i="5"/>
  <c r="X283" i="5"/>
  <c r="Y405" i="5"/>
  <c r="Y520" i="5"/>
  <c r="X94" i="5"/>
  <c r="X203" i="5"/>
  <c r="X309" i="5"/>
  <c r="X501" i="5"/>
  <c r="AC43" i="5"/>
  <c r="BF43" i="5" s="1"/>
  <c r="BG43" i="5" s="1"/>
  <c r="AA43" i="5"/>
  <c r="AB317" i="5"/>
  <c r="AA317" i="5"/>
  <c r="Y201" i="5"/>
  <c r="X201" i="5"/>
  <c r="X149" i="5"/>
  <c r="Y149" i="5"/>
  <c r="AC496" i="5"/>
  <c r="AD496" i="5" s="1"/>
  <c r="AB496" i="5"/>
  <c r="AA244" i="5"/>
  <c r="AB244" i="5"/>
  <c r="Y489" i="5"/>
  <c r="X457" i="5"/>
  <c r="X325" i="5"/>
  <c r="Y269" i="5"/>
  <c r="Y461" i="5"/>
  <c r="Y539" i="5"/>
  <c r="Y521" i="5"/>
  <c r="Y22" i="5"/>
  <c r="Y189" i="5"/>
  <c r="X341" i="5"/>
  <c r="Y433" i="5"/>
  <c r="X372" i="5"/>
  <c r="Y293" i="5"/>
  <c r="X505" i="5"/>
  <c r="X542" i="5"/>
  <c r="AC335" i="5"/>
  <c r="AE335" i="5" s="1"/>
  <c r="AB335" i="5"/>
  <c r="AA364" i="5"/>
  <c r="AC364" i="5"/>
  <c r="BF364" i="5" s="1"/>
  <c r="AA473" i="5"/>
  <c r="AB473" i="5"/>
  <c r="AC489" i="5"/>
  <c r="BF489" i="5" s="1"/>
  <c r="BH489" i="5" s="1"/>
  <c r="AA489" i="5"/>
  <c r="AB516" i="5"/>
  <c r="AA516" i="5"/>
  <c r="AA542" i="5"/>
  <c r="AB542" i="5"/>
  <c r="AA71" i="5"/>
  <c r="AB71" i="5"/>
  <c r="AC152" i="5"/>
  <c r="BF152" i="5" s="1"/>
  <c r="BH152" i="5" s="1"/>
  <c r="AC323" i="5"/>
  <c r="AD323" i="5" s="1"/>
  <c r="AC266" i="5"/>
  <c r="AE266" i="5" s="1"/>
  <c r="AA266" i="5"/>
  <c r="AC405" i="5"/>
  <c r="AE405" i="5" s="1"/>
  <c r="AA405" i="5"/>
  <c r="AA557" i="5"/>
  <c r="AB557" i="5"/>
  <c r="AC272" i="5"/>
  <c r="AD272" i="5" s="1"/>
  <c r="X257" i="5"/>
  <c r="Y257" i="5"/>
  <c r="X80" i="5"/>
  <c r="Y80" i="5"/>
  <c r="Y322" i="5"/>
  <c r="X322" i="5"/>
  <c r="Y57" i="5"/>
  <c r="X57" i="5"/>
  <c r="AC470" i="5"/>
  <c r="AD470" i="5" s="1"/>
  <c r="AA470" i="5"/>
  <c r="AC488" i="5"/>
  <c r="AE488" i="5" s="1"/>
  <c r="AC472" i="5"/>
  <c r="AD472" i="5" s="1"/>
  <c r="AC541" i="5"/>
  <c r="BF541" i="5" s="1"/>
  <c r="BG541" i="5" s="1"/>
  <c r="AC467" i="5"/>
  <c r="BF467" i="5" s="1"/>
  <c r="BH467" i="5" s="1"/>
  <c r="AC355" i="5"/>
  <c r="AD355" i="5" s="1"/>
  <c r="AC421" i="5"/>
  <c r="AE421" i="5" s="1"/>
  <c r="AC442" i="5"/>
  <c r="BF442" i="5" s="1"/>
  <c r="BH442" i="5" s="1"/>
  <c r="AC508" i="5"/>
  <c r="BF508" i="5" s="1"/>
  <c r="AC388" i="5"/>
  <c r="AD388" i="5" s="1"/>
  <c r="AC248" i="5"/>
  <c r="BF248" i="5" s="1"/>
  <c r="AC370" i="5"/>
  <c r="AD370" i="5" s="1"/>
  <c r="AC76" i="5"/>
  <c r="AD76" i="5" s="1"/>
  <c r="AC169" i="5"/>
  <c r="BF169" i="5" s="1"/>
  <c r="BG169" i="5" s="1"/>
  <c r="AC276" i="5"/>
  <c r="AE276" i="5" s="1"/>
  <c r="AC512" i="5"/>
  <c r="BF512" i="5" s="1"/>
  <c r="BG512" i="5" s="1"/>
  <c r="AC94" i="5"/>
  <c r="AE94" i="5" s="1"/>
  <c r="AC10" i="5"/>
  <c r="AD10" i="5" s="1"/>
  <c r="AC27" i="5"/>
  <c r="BF27" i="5" s="1"/>
  <c r="AC530" i="5"/>
  <c r="AD530" i="5" s="1"/>
  <c r="AC520" i="5"/>
  <c r="BF520" i="5" s="1"/>
  <c r="BG520" i="5" s="1"/>
  <c r="AC259" i="5"/>
  <c r="AE259" i="5" s="1"/>
  <c r="AC492" i="5"/>
  <c r="AE492" i="5" s="1"/>
  <c r="AC318" i="5"/>
  <c r="AD318" i="5" s="1"/>
  <c r="AC97" i="5"/>
  <c r="AD97" i="5" s="1"/>
  <c r="AC521" i="5"/>
  <c r="AE521" i="5" s="1"/>
  <c r="AC456" i="5"/>
  <c r="AD456" i="5" s="1"/>
  <c r="AA249" i="5"/>
  <c r="AB232" i="5"/>
  <c r="AB554" i="5"/>
  <c r="Y230" i="5"/>
  <c r="X311" i="5"/>
  <c r="AA482" i="5"/>
  <c r="AB555" i="5"/>
  <c r="Y98" i="5"/>
  <c r="AC491" i="5"/>
  <c r="AE491" i="5" s="1"/>
  <c r="AC412" i="5"/>
  <c r="BF412" i="5" s="1"/>
  <c r="BG412" i="5" s="1"/>
  <c r="AC505" i="5"/>
  <c r="AD505" i="5" s="1"/>
  <c r="AC279" i="5"/>
  <c r="BF279" i="5" s="1"/>
  <c r="BH279" i="5" s="1"/>
  <c r="AC501" i="5"/>
  <c r="BF501" i="5" s="1"/>
  <c r="BH501" i="5" s="1"/>
  <c r="AC270" i="5"/>
  <c r="AC13" i="5"/>
  <c r="BF13" i="5" s="1"/>
  <c r="AB334" i="5"/>
  <c r="AA374" i="5"/>
  <c r="Y233" i="5"/>
  <c r="AC148" i="5"/>
  <c r="AE148" i="5" s="1"/>
  <c r="AC189" i="5"/>
  <c r="AD189" i="5" s="1"/>
  <c r="AC406" i="5"/>
  <c r="AE406" i="5" s="1"/>
  <c r="AC308" i="5"/>
  <c r="BF308" i="5" s="1"/>
  <c r="BG308" i="5" s="1"/>
  <c r="AC12" i="5"/>
  <c r="AD12" i="5" s="1"/>
  <c r="AC384" i="5"/>
  <c r="BF384" i="5" s="1"/>
  <c r="BG384" i="5" s="1"/>
  <c r="Y175" i="5"/>
  <c r="X263" i="5"/>
  <c r="X271" i="5"/>
  <c r="AA58" i="5"/>
  <c r="X210" i="5"/>
  <c r="AA491" i="5"/>
  <c r="AC417" i="5"/>
  <c r="AE417" i="5" s="1"/>
  <c r="AC542" i="5"/>
  <c r="AE542" i="5" s="1"/>
  <c r="AC394" i="5"/>
  <c r="AD394" i="5" s="1"/>
  <c r="AC463" i="5"/>
  <c r="AE463" i="5" s="1"/>
  <c r="X8" i="5"/>
  <c r="Y8" i="5"/>
  <c r="AB442" i="5"/>
  <c r="X306" i="5"/>
  <c r="Y347" i="5"/>
  <c r="AA42" i="5"/>
  <c r="AB160" i="5"/>
  <c r="AB378" i="5"/>
  <c r="X21" i="5"/>
  <c r="X256" i="5"/>
  <c r="X445" i="5"/>
  <c r="X363" i="5"/>
  <c r="Y383" i="5"/>
  <c r="X550" i="5"/>
  <c r="Y477" i="5"/>
  <c r="AC256" i="5"/>
  <c r="BF256" i="5" s="1"/>
  <c r="AC497" i="5"/>
  <c r="AD497" i="5" s="1"/>
  <c r="AB11" i="5"/>
  <c r="AA11" i="5"/>
  <c r="AB13" i="5"/>
  <c r="AA13" i="5"/>
  <c r="W9" i="5"/>
  <c r="AT9" i="5"/>
  <c r="T9" i="5"/>
  <c r="Q9" i="5"/>
  <c r="Z9" i="5"/>
  <c r="AZ9" i="5"/>
  <c r="AW9" i="5"/>
  <c r="X74" i="5"/>
  <c r="Y116" i="5"/>
  <c r="Y172" i="5"/>
  <c r="X225" i="5"/>
  <c r="X260" i="5"/>
  <c r="X302" i="5"/>
  <c r="X377" i="5"/>
  <c r="AB108" i="5"/>
  <c r="AA94" i="5"/>
  <c r="AA206" i="5"/>
  <c r="AB349" i="5"/>
  <c r="Y51" i="5"/>
  <c r="AB97" i="5"/>
  <c r="AA224" i="5"/>
  <c r="Y65" i="5"/>
  <c r="Y171" i="5"/>
  <c r="X367" i="5"/>
  <c r="X393" i="5"/>
  <c r="X497" i="5"/>
  <c r="X478" i="5"/>
  <c r="X483" i="5"/>
  <c r="Y424" i="5"/>
  <c r="AC160" i="5"/>
  <c r="BF160" i="5" s="1"/>
  <c r="X295" i="5"/>
  <c r="AC235" i="5"/>
  <c r="AD235" i="5" s="1"/>
  <c r="AC363" i="5"/>
  <c r="AD363" i="5" s="1"/>
  <c r="AC137" i="5"/>
  <c r="BF137" i="5" s="1"/>
  <c r="BH137" i="5" s="1"/>
  <c r="AC8" i="5"/>
  <c r="BF8" i="5" s="1"/>
  <c r="BG8" i="5" s="1"/>
  <c r="AB12" i="5"/>
  <c r="AA12" i="5"/>
  <c r="Y13" i="5"/>
  <c r="X13" i="5"/>
  <c r="BA11" i="5"/>
  <c r="AA161" i="5"/>
  <c r="AB279" i="5"/>
  <c r="AC367" i="5"/>
  <c r="AE367" i="5" s="1"/>
  <c r="AC69" i="5"/>
  <c r="BF69" i="5" s="1"/>
  <c r="BG69" i="5" s="1"/>
  <c r="AA472" i="5"/>
  <c r="AA69" i="5"/>
  <c r="AB105" i="5"/>
  <c r="AA169" i="5"/>
  <c r="AA406" i="5"/>
  <c r="AB258" i="5"/>
  <c r="AA521" i="5"/>
  <c r="Y384" i="5"/>
  <c r="AB308" i="5"/>
  <c r="AC402" i="5"/>
  <c r="AE402" i="5" s="1"/>
  <c r="AC396" i="5"/>
  <c r="AE396" i="5" s="1"/>
  <c r="AC251" i="5"/>
  <c r="BF251" i="5" s="1"/>
  <c r="BH251" i="5" s="1"/>
  <c r="AC450" i="5"/>
  <c r="BF450" i="5" s="1"/>
  <c r="BH450" i="5" s="1"/>
  <c r="AC397" i="5"/>
  <c r="AD397" i="5" s="1"/>
  <c r="AC550" i="5"/>
  <c r="BF550" i="5" s="1"/>
  <c r="BH550" i="5" s="1"/>
  <c r="AA8" i="5"/>
  <c r="AB8" i="5"/>
  <c r="Y12" i="5"/>
  <c r="X12" i="5"/>
  <c r="AA259" i="5"/>
  <c r="AB69" i="5"/>
  <c r="AB110" i="5"/>
  <c r="AB384" i="5"/>
  <c r="AB521" i="5"/>
  <c r="AB560" i="5"/>
  <c r="AA308" i="5"/>
  <c r="AC436" i="5"/>
  <c r="AD436" i="5" s="1"/>
  <c r="AC115" i="5"/>
  <c r="AE115" i="5" s="1"/>
  <c r="AA554" i="5"/>
  <c r="X104" i="5"/>
  <c r="AB22" i="5"/>
  <c r="AA178" i="5"/>
  <c r="AC25" i="5"/>
  <c r="AD25" i="5" s="1"/>
  <c r="Y26" i="5"/>
  <c r="Y142" i="5"/>
  <c r="Y314" i="5"/>
  <c r="AC22" i="5"/>
  <c r="AE22" i="5" s="1"/>
  <c r="AC482" i="5"/>
  <c r="AE482" i="5" s="1"/>
  <c r="AB146" i="5"/>
  <c r="AB106" i="5"/>
  <c r="AA347" i="5"/>
  <c r="X122" i="5"/>
  <c r="X166" i="5"/>
  <c r="AB509" i="5"/>
  <c r="AB488" i="5"/>
  <c r="X108" i="5"/>
  <c r="Y28" i="5"/>
  <c r="X133" i="5"/>
  <c r="X312" i="5"/>
  <c r="Y299" i="5"/>
  <c r="AA550" i="5"/>
  <c r="AC516" i="5"/>
  <c r="AE516" i="5" s="1"/>
  <c r="AC495" i="5"/>
  <c r="BF495" i="5" s="1"/>
  <c r="BH495" i="5" s="1"/>
  <c r="AC555" i="5"/>
  <c r="AD555" i="5" s="1"/>
  <c r="AB251" i="5"/>
  <c r="X135" i="5"/>
  <c r="X151" i="5"/>
  <c r="Y245" i="5"/>
  <c r="Y264" i="5"/>
  <c r="AB58" i="5"/>
  <c r="AA397" i="5"/>
  <c r="AB470" i="5"/>
  <c r="AA488" i="5"/>
  <c r="X161" i="5"/>
  <c r="Y374" i="5"/>
  <c r="AC347" i="5"/>
  <c r="AE347" i="5" s="1"/>
  <c r="AC96" i="5"/>
  <c r="BF96" i="5" s="1"/>
  <c r="BH96" i="5" s="1"/>
  <c r="AC289" i="5"/>
  <c r="AD289" i="5" s="1"/>
  <c r="AC223" i="5"/>
  <c r="BF223" i="5" s="1"/>
  <c r="BG223" i="5" s="1"/>
  <c r="AB322" i="5"/>
  <c r="AC134" i="5"/>
  <c r="BF134" i="5" s="1"/>
  <c r="BH134" i="5" s="1"/>
  <c r="AA436" i="5"/>
  <c r="AA207" i="5"/>
  <c r="AA536" i="5"/>
  <c r="AA497" i="5"/>
  <c r="AC253" i="5"/>
  <c r="BF253" i="5" s="1"/>
  <c r="BG253" i="5" s="1"/>
  <c r="AA411" i="5"/>
  <c r="AA189" i="5"/>
  <c r="AB305" i="5"/>
  <c r="AA36" i="5"/>
  <c r="AB486" i="5"/>
  <c r="X222" i="5"/>
  <c r="X348" i="5"/>
  <c r="AB367" i="5"/>
  <c r="AA83" i="5"/>
  <c r="AB148" i="5"/>
  <c r="AA203" i="5"/>
  <c r="AB320" i="5"/>
  <c r="AB455" i="5"/>
  <c r="AA200" i="5"/>
  <c r="AC200" i="5"/>
  <c r="BF200" i="5" s="1"/>
  <c r="AC110" i="5"/>
  <c r="BF110" i="5" s="1"/>
  <c r="BH110" i="5" s="1"/>
  <c r="AB20" i="5"/>
  <c r="AB291" i="5"/>
  <c r="AA212" i="5"/>
  <c r="AA373" i="5"/>
  <c r="AA442" i="5"/>
  <c r="AB421" i="5"/>
  <c r="AA355" i="5"/>
  <c r="AA487" i="5"/>
  <c r="AA501" i="5"/>
  <c r="AA111" i="5"/>
  <c r="AA248" i="5"/>
  <c r="AB551" i="5"/>
  <c r="AA159" i="5"/>
  <c r="AA412" i="5"/>
  <c r="X304" i="5"/>
  <c r="AA30" i="5"/>
  <c r="AB100" i="5"/>
  <c r="AB250" i="5"/>
  <c r="AB375" i="5"/>
  <c r="AB61" i="5"/>
  <c r="AB94" i="5"/>
  <c r="AB478" i="5"/>
  <c r="AA541" i="5"/>
  <c r="Y37" i="5"/>
  <c r="Y68" i="5"/>
  <c r="Y82" i="5"/>
  <c r="Y205" i="5"/>
  <c r="X368" i="5"/>
  <c r="AA46" i="5"/>
  <c r="AA145" i="5"/>
  <c r="AA370" i="5"/>
  <c r="AA484" i="5"/>
  <c r="AB512" i="5"/>
  <c r="Y197" i="5"/>
  <c r="AC551" i="5"/>
  <c r="AD551" i="5" s="1"/>
  <c r="AC161" i="5"/>
  <c r="AE161" i="5" s="1"/>
  <c r="AB351" i="5"/>
  <c r="AA358" i="5"/>
  <c r="AA478" i="5"/>
  <c r="AB467" i="5"/>
  <c r="AA215" i="5"/>
  <c r="AA279" i="5"/>
  <c r="AA546" i="5"/>
  <c r="X25" i="5"/>
  <c r="Y55" i="5"/>
  <c r="AB206" i="5"/>
  <c r="AA351" i="5"/>
  <c r="AA421" i="5"/>
  <c r="AB355" i="5"/>
  <c r="AA467" i="5"/>
  <c r="AB487" i="5"/>
  <c r="AB472" i="5"/>
  <c r="AC273" i="5"/>
  <c r="AE273" i="5" s="1"/>
  <c r="X124" i="5"/>
  <c r="AA76" i="5"/>
  <c r="AA273" i="5"/>
  <c r="AA375" i="5"/>
  <c r="AB500" i="5"/>
  <c r="AA443" i="5"/>
  <c r="AA512" i="5"/>
  <c r="AC426" i="5"/>
  <c r="AD426" i="5" s="1"/>
  <c r="AB426" i="5"/>
  <c r="AA545" i="5"/>
  <c r="AC373" i="5"/>
  <c r="BF373" i="5" s="1"/>
  <c r="BH373" i="5" s="1"/>
  <c r="AC546" i="5"/>
  <c r="AD546" i="5" s="1"/>
  <c r="AC70" i="5"/>
  <c r="BF70" i="5" s="1"/>
  <c r="AA349" i="5"/>
  <c r="AB541" i="5"/>
  <c r="AB39" i="5"/>
  <c r="AB395" i="5"/>
  <c r="AB345" i="5"/>
  <c r="AB394" i="5"/>
  <c r="AB462" i="5"/>
  <c r="AB451" i="5"/>
  <c r="X156" i="5"/>
  <c r="X254" i="5"/>
  <c r="X291" i="5"/>
  <c r="AA152" i="5"/>
  <c r="AB207" i="5"/>
  <c r="AB235" i="5"/>
  <c r="AB323" i="5"/>
  <c r="AB363" i="5"/>
  <c r="AB390" i="5"/>
  <c r="AB406" i="5"/>
  <c r="AA391" i="5"/>
  <c r="AB405" i="5"/>
  <c r="AB427" i="5"/>
  <c r="AA560" i="5"/>
  <c r="Y131" i="5"/>
  <c r="AA476" i="5"/>
  <c r="AB497" i="5"/>
  <c r="AC249" i="5"/>
  <c r="BF249" i="5" s="1"/>
  <c r="BG249" i="5" s="1"/>
  <c r="AC390" i="5"/>
  <c r="AD390" i="5" s="1"/>
  <c r="AC46" i="5"/>
  <c r="BF46" i="5" s="1"/>
  <c r="BG46" i="5" s="1"/>
  <c r="AB530" i="5"/>
  <c r="AB31" i="5"/>
  <c r="AA140" i="5"/>
  <c r="AA167" i="5"/>
  <c r="AB403" i="5"/>
  <c r="AB520" i="5"/>
  <c r="AB447" i="5"/>
  <c r="AB260" i="5"/>
  <c r="AA493" i="5"/>
  <c r="AC324" i="5"/>
  <c r="AE324" i="5" s="1"/>
  <c r="AA324" i="5"/>
  <c r="AB175" i="5"/>
  <c r="AA175" i="5"/>
  <c r="AB107" i="5"/>
  <c r="AA107" i="5"/>
  <c r="AC72" i="5"/>
  <c r="AD72" i="5" s="1"/>
  <c r="AA72" i="5"/>
  <c r="AB72" i="5"/>
  <c r="AB33" i="5"/>
  <c r="AA33" i="5"/>
  <c r="AA85" i="5"/>
  <c r="AC85" i="5"/>
  <c r="AE85" i="5" s="1"/>
  <c r="AC457" i="5"/>
  <c r="AD457" i="5" s="1"/>
  <c r="AA457" i="5"/>
  <c r="AB457" i="5"/>
  <c r="AC410" i="5"/>
  <c r="AE410" i="5" s="1"/>
  <c r="AA410" i="5"/>
  <c r="AC209" i="5"/>
  <c r="AD209" i="5" s="1"/>
  <c r="AA209" i="5"/>
  <c r="AC65" i="5"/>
  <c r="AD65" i="5" s="1"/>
  <c r="AA65" i="5"/>
  <c r="AB454" i="5"/>
  <c r="AC454" i="5"/>
  <c r="BF454" i="5" s="1"/>
  <c r="BH454" i="5" s="1"/>
  <c r="AC131" i="5"/>
  <c r="AE131" i="5" s="1"/>
  <c r="AA131" i="5"/>
  <c r="AC298" i="5"/>
  <c r="AE298" i="5" s="1"/>
  <c r="AB298" i="5"/>
  <c r="AB466" i="5"/>
  <c r="AA466" i="5"/>
  <c r="AA342" i="5"/>
  <c r="AB342" i="5"/>
  <c r="AA350" i="5"/>
  <c r="AB350" i="5"/>
  <c r="AA448" i="5"/>
  <c r="AB448" i="5"/>
  <c r="AC448" i="5"/>
  <c r="BF448" i="5" s="1"/>
  <c r="X145" i="5"/>
  <c r="Y145" i="5"/>
  <c r="Y109" i="5"/>
  <c r="X109" i="5"/>
  <c r="X334" i="5"/>
  <c r="AC334" i="5"/>
  <c r="AD334" i="5" s="1"/>
  <c r="Y334" i="5"/>
  <c r="Y219" i="5"/>
  <c r="X219" i="5"/>
  <c r="X163" i="5"/>
  <c r="Y163" i="5"/>
  <c r="AC353" i="5"/>
  <c r="BF353" i="5" s="1"/>
  <c r="AB353" i="5"/>
  <c r="AC428" i="5"/>
  <c r="AE428" i="5" s="1"/>
  <c r="AA428" i="5"/>
  <c r="AA276" i="5"/>
  <c r="AB276" i="5"/>
  <c r="AC559" i="5"/>
  <c r="AD559" i="5" s="1"/>
  <c r="AA559" i="5"/>
  <c r="AB79" i="5"/>
  <c r="AB209" i="5"/>
  <c r="AB270" i="5"/>
  <c r="AB376" i="5"/>
  <c r="AB514" i="5"/>
  <c r="AC107" i="5"/>
  <c r="AE107" i="5" s="1"/>
  <c r="X146" i="5"/>
  <c r="X101" i="5"/>
  <c r="Y274" i="5"/>
  <c r="Y185" i="5"/>
  <c r="Y399" i="5"/>
  <c r="AA151" i="5"/>
  <c r="AA515" i="5"/>
  <c r="X60" i="5"/>
  <c r="X140" i="5"/>
  <c r="AB559" i="5"/>
  <c r="Y61" i="5"/>
  <c r="X316" i="5"/>
  <c r="AC466" i="5"/>
  <c r="AD466" i="5" s="1"/>
  <c r="AC365" i="5"/>
  <c r="BF365" i="5" s="1"/>
  <c r="AB365" i="5"/>
  <c r="AA121" i="5"/>
  <c r="AB121" i="5"/>
  <c r="AC218" i="5"/>
  <c r="BF218" i="5" s="1"/>
  <c r="BG218" i="5" s="1"/>
  <c r="AB218" i="5"/>
  <c r="AC45" i="5"/>
  <c r="AE45" i="5" s="1"/>
  <c r="AB45" i="5"/>
  <c r="AA283" i="5"/>
  <c r="AC283" i="5"/>
  <c r="BF283" i="5" s="1"/>
  <c r="AA336" i="5"/>
  <c r="AB336" i="5"/>
  <c r="AA449" i="5"/>
  <c r="AB449" i="5"/>
  <c r="AC449" i="5"/>
  <c r="AE449" i="5" s="1"/>
  <c r="AC354" i="5"/>
  <c r="AD354" i="5" s="1"/>
  <c r="AA354" i="5"/>
  <c r="AA524" i="5"/>
  <c r="AB524" i="5"/>
  <c r="AC524" i="5"/>
  <c r="AD524" i="5" s="1"/>
  <c r="AA533" i="5"/>
  <c r="AC533" i="5"/>
  <c r="AD533" i="5" s="1"/>
  <c r="AC494" i="5"/>
  <c r="AD494" i="5" s="1"/>
  <c r="AB494" i="5"/>
  <c r="AC103" i="5"/>
  <c r="AD103" i="5" s="1"/>
  <c r="AB103" i="5"/>
  <c r="AC29" i="5"/>
  <c r="AD29" i="5" s="1"/>
  <c r="AA29" i="5"/>
  <c r="AB247" i="5"/>
  <c r="AA247" i="5"/>
  <c r="AB205" i="5"/>
  <c r="AA205" i="5"/>
  <c r="AC461" i="5"/>
  <c r="AB461" i="5"/>
  <c r="AB433" i="5"/>
  <c r="AA433" i="5"/>
  <c r="AC433" i="5"/>
  <c r="BF433" i="5" s="1"/>
  <c r="AA523" i="5"/>
  <c r="AB523" i="5"/>
  <c r="AC328" i="5"/>
  <c r="AE328" i="5" s="1"/>
  <c r="AB328" i="5"/>
  <c r="Y392" i="5"/>
  <c r="X392" i="5"/>
  <c r="Y270" i="5"/>
  <c r="X270" i="5"/>
  <c r="Y262" i="5"/>
  <c r="X262" i="5"/>
  <c r="Y204" i="5"/>
  <c r="X204" i="5"/>
  <c r="Y174" i="5"/>
  <c r="X174" i="5"/>
  <c r="X144" i="5"/>
  <c r="Y144" i="5"/>
  <c r="X138" i="5"/>
  <c r="Y138" i="5"/>
  <c r="X56" i="5"/>
  <c r="Y56" i="5"/>
  <c r="Y338" i="5"/>
  <c r="X338" i="5"/>
  <c r="Y62" i="5"/>
  <c r="X62" i="5"/>
  <c r="AC71" i="5"/>
  <c r="BF71" i="5" s="1"/>
  <c r="BH71" i="5" s="1"/>
  <c r="X71" i="5"/>
  <c r="AA434" i="5"/>
  <c r="AC434" i="5"/>
  <c r="BF434" i="5" s="1"/>
  <c r="BG434" i="5" s="1"/>
  <c r="X130" i="5"/>
  <c r="Y130" i="5"/>
  <c r="AC64" i="5"/>
  <c r="AE64" i="5" s="1"/>
  <c r="AB64" i="5"/>
  <c r="AA64" i="5"/>
  <c r="AB372" i="5"/>
  <c r="AA372" i="5"/>
  <c r="AB85" i="5"/>
  <c r="AB186" i="5"/>
  <c r="AB233" i="5"/>
  <c r="AA188" i="5"/>
  <c r="AA223" i="5"/>
  <c r="AB283" i="5"/>
  <c r="AA360" i="5"/>
  <c r="AA376" i="5"/>
  <c r="AB498" i="5"/>
  <c r="Y71" i="5"/>
  <c r="Y84" i="5"/>
  <c r="X272" i="5"/>
  <c r="Y330" i="5"/>
  <c r="AB131" i="5"/>
  <c r="AB193" i="5"/>
  <c r="AA414" i="5"/>
  <c r="AB468" i="5"/>
  <c r="AA90" i="5"/>
  <c r="AB428" i="5"/>
  <c r="AB43" i="5"/>
  <c r="AA148" i="5"/>
  <c r="AB223" i="5"/>
  <c r="AB321" i="5"/>
  <c r="AB411" i="5"/>
  <c r="AB360" i="5"/>
  <c r="AA251" i="5"/>
  <c r="AA498" i="5"/>
  <c r="AA396" i="5"/>
  <c r="AB479" i="5"/>
  <c r="AB410" i="5"/>
  <c r="AA494" i="5"/>
  <c r="AA553" i="5"/>
  <c r="AB533" i="5"/>
  <c r="X46" i="5"/>
  <c r="Y90" i="5"/>
  <c r="X170" i="5"/>
  <c r="X212" i="5"/>
  <c r="AB312" i="5"/>
  <c r="AA423" i="5"/>
  <c r="AA461" i="5"/>
  <c r="X165" i="5"/>
  <c r="AC372" i="5"/>
  <c r="BF372" i="5" s="1"/>
  <c r="BG372" i="5" s="1"/>
  <c r="AC330" i="5"/>
  <c r="AD330" i="5" s="1"/>
  <c r="AC163" i="5"/>
  <c r="AE163" i="5" s="1"/>
  <c r="AB430" i="5"/>
  <c r="AC430" i="5"/>
  <c r="BF430" i="5" s="1"/>
  <c r="BH430" i="5" s="1"/>
  <c r="AA430" i="5"/>
  <c r="AA332" i="5"/>
  <c r="AB332" i="5"/>
  <c r="AC332" i="5"/>
  <c r="BF332" i="5" s="1"/>
  <c r="AB315" i="5"/>
  <c r="AC315" i="5"/>
  <c r="AE315" i="5" s="1"/>
  <c r="AB269" i="5"/>
  <c r="AC269" i="5"/>
  <c r="AE269" i="5" s="1"/>
  <c r="AA219" i="5"/>
  <c r="AC219" i="5"/>
  <c r="AE219" i="5" s="1"/>
  <c r="AA127" i="5"/>
  <c r="AB127" i="5"/>
  <c r="AA75" i="5"/>
  <c r="AB75" i="5"/>
  <c r="AC339" i="5"/>
  <c r="BF339" i="5" s="1"/>
  <c r="BH339" i="5" s="1"/>
  <c r="AA339" i="5"/>
  <c r="AA329" i="5"/>
  <c r="AC329" i="5"/>
  <c r="AE329" i="5" s="1"/>
  <c r="AB329" i="5"/>
  <c r="AA285" i="5"/>
  <c r="AB285" i="5"/>
  <c r="AA231" i="5"/>
  <c r="AC231" i="5"/>
  <c r="BF231" i="5" s="1"/>
  <c r="AB231" i="5"/>
  <c r="AA191" i="5"/>
  <c r="AB191" i="5"/>
  <c r="AB115" i="5"/>
  <c r="AA115" i="5"/>
  <c r="AB154" i="5"/>
  <c r="AC154" i="5"/>
  <c r="AE154" i="5" s="1"/>
  <c r="AA154" i="5"/>
  <c r="AA89" i="5"/>
  <c r="AB89" i="5"/>
  <c r="AA54" i="5"/>
  <c r="AB54" i="5"/>
  <c r="AB48" i="5"/>
  <c r="AA48" i="5"/>
  <c r="AC483" i="5"/>
  <c r="AB483" i="5"/>
  <c r="AA558" i="5"/>
  <c r="AC558" i="5"/>
  <c r="AE558" i="5" s="1"/>
  <c r="AB510" i="5"/>
  <c r="AC510" i="5"/>
  <c r="BF510" i="5" s="1"/>
  <c r="AA506" i="5"/>
  <c r="AC506" i="5"/>
  <c r="BF506" i="5" s="1"/>
  <c r="AB506" i="5"/>
  <c r="AC507" i="5"/>
  <c r="AD507" i="5" s="1"/>
  <c r="AA507" i="5"/>
  <c r="AB507" i="5"/>
  <c r="AC452" i="5"/>
  <c r="AD452" i="5" s="1"/>
  <c r="AB452" i="5"/>
  <c r="AC385" i="5"/>
  <c r="AE385" i="5" s="1"/>
  <c r="AA385" i="5"/>
  <c r="AC268" i="5"/>
  <c r="AE268" i="5" s="1"/>
  <c r="AA268" i="5"/>
  <c r="AB268" i="5"/>
  <c r="AC132" i="5"/>
  <c r="AE132" i="5" s="1"/>
  <c r="AB132" i="5"/>
  <c r="AB129" i="5"/>
  <c r="AA129" i="5"/>
  <c r="AA458" i="5"/>
  <c r="AC458" i="5"/>
  <c r="AE458" i="5" s="1"/>
  <c r="AB458" i="5"/>
  <c r="AC465" i="5"/>
  <c r="AA465" i="5"/>
  <c r="AB465" i="5"/>
  <c r="AB477" i="5"/>
  <c r="AA477" i="5"/>
  <c r="AC477" i="5"/>
  <c r="AE477" i="5" s="1"/>
  <c r="AC356" i="5"/>
  <c r="AA356" i="5"/>
  <c r="AB435" i="5"/>
  <c r="AA435" i="5"/>
  <c r="AC435" i="5"/>
  <c r="AA326" i="5"/>
  <c r="AB326" i="5"/>
  <c r="AA228" i="5"/>
  <c r="AB228" i="5"/>
  <c r="AC99" i="5"/>
  <c r="AD99" i="5" s="1"/>
  <c r="AA99" i="5"/>
  <c r="AB99" i="5"/>
  <c r="AB88" i="5"/>
  <c r="AA88" i="5"/>
  <c r="AA47" i="5"/>
  <c r="AB47" i="5"/>
  <c r="AB313" i="5"/>
  <c r="AA313" i="5"/>
  <c r="AC313" i="5"/>
  <c r="AE313" i="5" s="1"/>
  <c r="AA538" i="5"/>
  <c r="AC538" i="5"/>
  <c r="BF538" i="5" s="1"/>
  <c r="AB538" i="5"/>
  <c r="X342" i="5"/>
  <c r="Y342" i="5"/>
  <c r="X250" i="5"/>
  <c r="AC250" i="5"/>
  <c r="AE250" i="5" s="1"/>
  <c r="Y250" i="5"/>
  <c r="Y192" i="5"/>
  <c r="X192" i="5"/>
  <c r="Y228" i="5"/>
  <c r="X228" i="5"/>
  <c r="AC228" i="5"/>
  <c r="AD228" i="5" s="1"/>
  <c r="X173" i="5"/>
  <c r="Y173" i="5"/>
  <c r="Y153" i="5"/>
  <c r="X153" i="5"/>
  <c r="AC153" i="5"/>
  <c r="AD153" i="5" s="1"/>
  <c r="Y78" i="5"/>
  <c r="X78" i="5"/>
  <c r="Y413" i="5"/>
  <c r="X413" i="5"/>
  <c r="AC336" i="5"/>
  <c r="AD336" i="5" s="1"/>
  <c r="X336" i="5"/>
  <c r="Y336" i="5"/>
  <c r="AC232" i="5"/>
  <c r="X232" i="5"/>
  <c r="Y215" i="5"/>
  <c r="X215" i="5"/>
  <c r="X188" i="5"/>
  <c r="Y188" i="5"/>
  <c r="X155" i="5"/>
  <c r="Y155" i="5"/>
  <c r="X159" i="5"/>
  <c r="Y159" i="5"/>
  <c r="AC88" i="5"/>
  <c r="BF88" i="5" s="1"/>
  <c r="BH88" i="5" s="1"/>
  <c r="Y88" i="5"/>
  <c r="X88" i="5"/>
  <c r="Y52" i="5"/>
  <c r="X52" i="5"/>
  <c r="X20" i="5"/>
  <c r="Y20" i="5"/>
  <c r="AA382" i="5"/>
  <c r="AB382" i="5"/>
  <c r="Y39" i="5"/>
  <c r="AC39" i="5"/>
  <c r="AE39" i="5" s="1"/>
  <c r="Y95" i="5"/>
  <c r="X95" i="5"/>
  <c r="X179" i="5"/>
  <c r="Y179" i="5"/>
  <c r="AC296" i="5"/>
  <c r="AE296" i="5" s="1"/>
  <c r="AB296" i="5"/>
  <c r="AC480" i="5"/>
  <c r="BF480" i="5" s="1"/>
  <c r="BH480" i="5" s="1"/>
  <c r="AA480" i="5"/>
  <c r="AB480" i="5"/>
  <c r="AC534" i="5"/>
  <c r="AD534" i="5" s="1"/>
  <c r="AA534" i="5"/>
  <c r="AB534" i="5"/>
  <c r="AA132" i="5"/>
  <c r="AB289" i="5"/>
  <c r="AA510" i="5"/>
  <c r="X32" i="5"/>
  <c r="X117" i="5"/>
  <c r="Y237" i="5"/>
  <c r="Y232" i="5"/>
  <c r="Y221" i="5"/>
  <c r="Y258" i="5"/>
  <c r="X350" i="5"/>
  <c r="AB339" i="5"/>
  <c r="AB219" i="5"/>
  <c r="AC325" i="5"/>
  <c r="AD325" i="5" s="1"/>
  <c r="AB70" i="5"/>
  <c r="AA118" i="5"/>
  <c r="AB271" i="5"/>
  <c r="AA289" i="5"/>
  <c r="AB325" i="5"/>
  <c r="AB558" i="5"/>
  <c r="AC149" i="5"/>
  <c r="AE149" i="5" s="1"/>
  <c r="AA296" i="5"/>
  <c r="AC220" i="5"/>
  <c r="AD220" i="5" s="1"/>
  <c r="AC481" i="5"/>
  <c r="AE481" i="5" s="1"/>
  <c r="X36" i="5"/>
  <c r="Y157" i="5"/>
  <c r="AC350" i="5"/>
  <c r="AE350" i="5" s="1"/>
  <c r="AC81" i="5"/>
  <c r="BF81" i="5" s="1"/>
  <c r="BG81" i="5" s="1"/>
  <c r="AC379" i="5"/>
  <c r="AB379" i="5"/>
  <c r="AB282" i="5"/>
  <c r="AA282" i="5"/>
  <c r="AC262" i="5"/>
  <c r="AA262" i="5"/>
  <c r="AC227" i="5"/>
  <c r="BF227" i="5" s="1"/>
  <c r="BH227" i="5" s="1"/>
  <c r="AB227" i="5"/>
  <c r="AA112" i="5"/>
  <c r="AB112" i="5"/>
  <c r="AC116" i="5"/>
  <c r="BF116" i="5" s="1"/>
  <c r="AA116" i="5"/>
  <c r="AA50" i="5"/>
  <c r="AB50" i="5"/>
  <c r="AB21" i="5"/>
  <c r="AC21" i="5"/>
  <c r="BF21" i="5" s="1"/>
  <c r="AA21" i="5"/>
  <c r="AC471" i="5"/>
  <c r="BF471" i="5" s="1"/>
  <c r="BG471" i="5" s="1"/>
  <c r="AA471" i="5"/>
  <c r="AA517" i="5"/>
  <c r="AB517" i="5"/>
  <c r="AC340" i="5"/>
  <c r="AD340" i="5" s="1"/>
  <c r="AB340" i="5"/>
  <c r="AA340" i="5"/>
  <c r="AC441" i="5"/>
  <c r="AE441" i="5" s="1"/>
  <c r="AA441" i="5"/>
  <c r="AC444" i="5"/>
  <c r="AE444" i="5" s="1"/>
  <c r="AB444" i="5"/>
  <c r="AA380" i="5"/>
  <c r="AC380" i="5"/>
  <c r="AE380" i="5" s="1"/>
  <c r="AB380" i="5"/>
  <c r="AC239" i="5"/>
  <c r="AE239" i="5" s="1"/>
  <c r="AA239" i="5"/>
  <c r="AB239" i="5"/>
  <c r="AC177" i="5"/>
  <c r="AB177" i="5"/>
  <c r="AC539" i="5"/>
  <c r="AB539" i="5"/>
  <c r="AA539" i="5"/>
  <c r="AA327" i="5"/>
  <c r="AB327" i="5"/>
  <c r="AC341" i="5"/>
  <c r="BF341" i="5" s="1"/>
  <c r="BH341" i="5" s="1"/>
  <c r="AA341" i="5"/>
  <c r="AC420" i="5"/>
  <c r="AD420" i="5" s="1"/>
  <c r="AB420" i="5"/>
  <c r="AA420" i="5"/>
  <c r="AA408" i="5"/>
  <c r="AB408" i="5"/>
  <c r="AB337" i="5"/>
  <c r="AC337" i="5"/>
  <c r="BF337" i="5" s="1"/>
  <c r="AA281" i="5"/>
  <c r="AB281" i="5"/>
  <c r="AC190" i="5"/>
  <c r="AD190" i="5" s="1"/>
  <c r="AA190" i="5"/>
  <c r="AA53" i="5"/>
  <c r="AC53" i="5"/>
  <c r="AD53" i="5" s="1"/>
  <c r="AB53" i="5"/>
  <c r="AC150" i="5"/>
  <c r="AE150" i="5" s="1"/>
  <c r="AB150" i="5"/>
  <c r="AC401" i="5"/>
  <c r="AE401" i="5" s="1"/>
  <c r="AA401" i="5"/>
  <c r="AA464" i="5"/>
  <c r="AB464" i="5"/>
  <c r="AC464" i="5"/>
  <c r="AD464" i="5" s="1"/>
  <c r="X408" i="5"/>
  <c r="AC408" i="5"/>
  <c r="BF408" i="5" s="1"/>
  <c r="Y331" i="5"/>
  <c r="X331" i="5"/>
  <c r="Y278" i="5"/>
  <c r="X278" i="5"/>
  <c r="Y208" i="5"/>
  <c r="X208" i="5"/>
  <c r="X182" i="5"/>
  <c r="Y182" i="5"/>
  <c r="Y111" i="5"/>
  <c r="X111" i="5"/>
  <c r="AC89" i="5"/>
  <c r="AD89" i="5" s="1"/>
  <c r="Y89" i="5"/>
  <c r="X89" i="5"/>
  <c r="X67" i="5"/>
  <c r="Y67" i="5"/>
  <c r="AC282" i="5"/>
  <c r="AE282" i="5" s="1"/>
  <c r="Y282" i="5"/>
  <c r="X282" i="5"/>
  <c r="X286" i="5"/>
  <c r="Y286" i="5"/>
  <c r="AC178" i="5"/>
  <c r="BF178" i="5" s="1"/>
  <c r="BH178" i="5" s="1"/>
  <c r="X178" i="5"/>
  <c r="AC136" i="5"/>
  <c r="AA136" i="5"/>
  <c r="AA549" i="5"/>
  <c r="AC549" i="5"/>
  <c r="AE549" i="5" s="1"/>
  <c r="Y79" i="5"/>
  <c r="X79" i="5"/>
  <c r="AC79" i="5"/>
  <c r="AD79" i="5" s="1"/>
  <c r="AC118" i="5"/>
  <c r="BF118" i="5" s="1"/>
  <c r="BG118" i="5" s="1"/>
  <c r="X118" i="5"/>
  <c r="X241" i="5"/>
  <c r="Y241" i="5"/>
  <c r="AC381" i="5"/>
  <c r="AD381" i="5" s="1"/>
  <c r="AA381" i="5"/>
  <c r="AB381" i="5"/>
  <c r="AC229" i="5"/>
  <c r="AD229" i="5" s="1"/>
  <c r="AB229" i="5"/>
  <c r="AA424" i="5"/>
  <c r="AB424" i="5"/>
  <c r="AC424" i="5"/>
  <c r="BF424" i="5" s="1"/>
  <c r="BG424" i="5" s="1"/>
  <c r="AA70" i="5"/>
  <c r="AA303" i="5"/>
  <c r="AA394" i="5"/>
  <c r="Y75" i="5"/>
  <c r="Y93" i="5"/>
  <c r="Y352" i="5"/>
  <c r="AA177" i="5"/>
  <c r="AB385" i="5"/>
  <c r="AA452" i="5"/>
  <c r="AB441" i="5"/>
  <c r="AA153" i="5"/>
  <c r="AB190" i="5"/>
  <c r="AA229" i="5"/>
  <c r="X39" i="5"/>
  <c r="AB116" i="5"/>
  <c r="AA227" i="5"/>
  <c r="AB401" i="5"/>
  <c r="X24" i="5"/>
  <c r="X280" i="5"/>
  <c r="AA38" i="5"/>
  <c r="AB356" i="5"/>
  <c r="AA481" i="5"/>
  <c r="AC342" i="5"/>
  <c r="AD342" i="5" s="1"/>
  <c r="AA463" i="5"/>
  <c r="AB463" i="5"/>
  <c r="AA532" i="5"/>
  <c r="AC532" i="5"/>
  <c r="AD532" i="5" s="1"/>
  <c r="AB532" i="5"/>
  <c r="AC303" i="5"/>
  <c r="AC321" i="5"/>
  <c r="AD321" i="5" s="1"/>
  <c r="Y321" i="5"/>
  <c r="X327" i="5"/>
  <c r="AC327" i="5"/>
  <c r="AC326" i="5"/>
  <c r="AE326" i="5" s="1"/>
  <c r="Y193" i="5"/>
  <c r="X193" i="5"/>
  <c r="Y198" i="5"/>
  <c r="X198" i="5"/>
  <c r="X83" i="5"/>
  <c r="Y83" i="5"/>
  <c r="Y38" i="5"/>
  <c r="X38" i="5"/>
  <c r="AB128" i="5"/>
  <c r="AA186" i="5"/>
  <c r="AB187" i="5"/>
  <c r="AA496" i="5"/>
  <c r="AC38" i="5"/>
  <c r="AE38" i="5" s="1"/>
  <c r="Y46" i="5"/>
  <c r="AA272" i="5"/>
  <c r="AA353" i="5"/>
  <c r="AC193" i="5"/>
  <c r="AE193" i="5" s="1"/>
  <c r="Y81" i="5"/>
  <c r="AA504" i="5"/>
  <c r="Y326" i="5"/>
  <c r="X303" i="5"/>
  <c r="AB434" i="5"/>
  <c r="AC504" i="5"/>
  <c r="BF504" i="5" s="1"/>
  <c r="BG504" i="5" s="1"/>
  <c r="AC109" i="5"/>
  <c r="BF109" i="5" s="1"/>
  <c r="BH109" i="5" s="1"/>
  <c r="AA499" i="5"/>
  <c r="AC499" i="5"/>
  <c r="BF499" i="5" s="1"/>
  <c r="BH499" i="5" s="1"/>
  <c r="AC526" i="5"/>
  <c r="AE526" i="5" s="1"/>
  <c r="AA526" i="5"/>
  <c r="AC237" i="5"/>
  <c r="AD237" i="5" s="1"/>
  <c r="AA422" i="5"/>
  <c r="AC422" i="5"/>
  <c r="BF422" i="5" s="1"/>
  <c r="BG422" i="5" s="1"/>
  <c r="AC204" i="5"/>
  <c r="AE204" i="5" s="1"/>
  <c r="AC60" i="5"/>
  <c r="AC366" i="5"/>
  <c r="BF366" i="5" s="1"/>
  <c r="AA366" i="5"/>
  <c r="AC338" i="5"/>
  <c r="BF338" i="5" s="1"/>
  <c r="BH338" i="5" s="1"/>
  <c r="AC222" i="5"/>
  <c r="AC130" i="5"/>
  <c r="AD130" i="5" s="1"/>
  <c r="AC258" i="5"/>
  <c r="BF258" i="5" s="1"/>
  <c r="AC460" i="5"/>
  <c r="AD460" i="5" s="1"/>
  <c r="AA460" i="5"/>
  <c r="AB460" i="5"/>
  <c r="AB456" i="5"/>
  <c r="AA456" i="5"/>
  <c r="AC274" i="5"/>
  <c r="AC331" i="5"/>
  <c r="AD331" i="5" s="1"/>
  <c r="AC90" i="5"/>
  <c r="AE90" i="5" s="1"/>
  <c r="AC188" i="5"/>
  <c r="BF188" i="5" s="1"/>
  <c r="AC146" i="5"/>
  <c r="BF146" i="5" s="1"/>
  <c r="BG146" i="5" s="1"/>
  <c r="AC52" i="5"/>
  <c r="AE52" i="5" s="1"/>
  <c r="AC182" i="5"/>
  <c r="BF182" i="5" s="1"/>
  <c r="BG182" i="5" s="1"/>
  <c r="AC359" i="5"/>
  <c r="AC127" i="5"/>
  <c r="AE127" i="5" s="1"/>
  <c r="AC382" i="5"/>
  <c r="AE382" i="5" s="1"/>
  <c r="AC77" i="5"/>
  <c r="AD77" i="5" s="1"/>
  <c r="AC30" i="5"/>
  <c r="AC278" i="5"/>
  <c r="AE278" i="5" s="1"/>
  <c r="AC191" i="5"/>
  <c r="AE191" i="5" s="1"/>
  <c r="AC198" i="5"/>
  <c r="AE198" i="5" s="1"/>
  <c r="AC212" i="5"/>
  <c r="AD212" i="5" s="1"/>
  <c r="AC241" i="5"/>
  <c r="BF241" i="5" s="1"/>
  <c r="BH241" i="5" s="1"/>
  <c r="AC159" i="5"/>
  <c r="AD159" i="5" s="1"/>
  <c r="AC61" i="5"/>
  <c r="BF61" i="5" s="1"/>
  <c r="BH61" i="5" s="1"/>
  <c r="AC20" i="5"/>
  <c r="AD20" i="5" s="1"/>
  <c r="AC145" i="5"/>
  <c r="BF145" i="5" s="1"/>
  <c r="BG145" i="5" s="1"/>
  <c r="AC111" i="5"/>
  <c r="AD111" i="5" s="1"/>
  <c r="AC95" i="5"/>
  <c r="AE95" i="5" s="1"/>
  <c r="AC208" i="5"/>
  <c r="AD208" i="5" s="1"/>
  <c r="AB208" i="5"/>
  <c r="AB202" i="5"/>
  <c r="AC202" i="5"/>
  <c r="BF202" i="5" s="1"/>
  <c r="AB27" i="5"/>
  <c r="AA27" i="5"/>
  <c r="AB425" i="5"/>
  <c r="AA425" i="5"/>
  <c r="AC309" i="5"/>
  <c r="AB309" i="5"/>
  <c r="AC453" i="5"/>
  <c r="AE453" i="5" s="1"/>
  <c r="AB453" i="5"/>
  <c r="AA246" i="5"/>
  <c r="AC246" i="5"/>
  <c r="AA535" i="5"/>
  <c r="AC535" i="5"/>
  <c r="AD535" i="5" s="1"/>
  <c r="AA485" i="5"/>
  <c r="AC485" i="5"/>
  <c r="AD485" i="5" s="1"/>
  <c r="AC162" i="5"/>
  <c r="BF162" i="5" s="1"/>
  <c r="Y162" i="5"/>
  <c r="AC47" i="5"/>
  <c r="Y47" i="5"/>
  <c r="AC317" i="5"/>
  <c r="BF317" i="5" s="1"/>
  <c r="X317" i="5"/>
  <c r="AC48" i="5"/>
  <c r="AE48" i="5" s="1"/>
  <c r="Y48" i="5"/>
  <c r="AC112" i="5"/>
  <c r="AE112" i="5" s="1"/>
  <c r="Y112" i="5"/>
  <c r="AC543" i="5"/>
  <c r="AA543" i="5"/>
  <c r="AA44" i="5"/>
  <c r="AB182" i="5"/>
  <c r="AB501" i="5"/>
  <c r="AC138" i="5"/>
  <c r="AD138" i="5" s="1"/>
  <c r="AC151" i="5"/>
  <c r="BF151" i="5" s="1"/>
  <c r="AC443" i="5"/>
  <c r="AE443" i="5" s="1"/>
  <c r="AB76" i="5"/>
  <c r="AA162" i="5"/>
  <c r="AA413" i="5"/>
  <c r="AB543" i="5"/>
  <c r="AC275" i="5"/>
  <c r="BF275" i="5" s="1"/>
  <c r="Y53" i="5"/>
  <c r="X191" i="5"/>
  <c r="AA275" i="5"/>
  <c r="AB535" i="5"/>
  <c r="Y127" i="5"/>
  <c r="Y359" i="5"/>
  <c r="AA208" i="5"/>
  <c r="AB550" i="5"/>
  <c r="AC203" i="5"/>
  <c r="AD203" i="5" s="1"/>
  <c r="AC84" i="5"/>
  <c r="AA84" i="5"/>
  <c r="AC172" i="5"/>
  <c r="AE172" i="5" s="1"/>
  <c r="AA172" i="5"/>
  <c r="AC348" i="5"/>
  <c r="AB348" i="5"/>
  <c r="AB527" i="5"/>
  <c r="AC527" i="5"/>
  <c r="AC23" i="5"/>
  <c r="AE23" i="5" s="1"/>
  <c r="AA23" i="5"/>
  <c r="AC548" i="5"/>
  <c r="BF548" i="5" s="1"/>
  <c r="BG548" i="5" s="1"/>
  <c r="AB548" i="5"/>
  <c r="AB393" i="5"/>
  <c r="AA393" i="5"/>
  <c r="AA318" i="5"/>
  <c r="AB318" i="5"/>
  <c r="AB174" i="5"/>
  <c r="AC174" i="5"/>
  <c r="BF174" i="5" s="1"/>
  <c r="AA77" i="5"/>
  <c r="AB77" i="5"/>
  <c r="AB138" i="5"/>
  <c r="AC438" i="5"/>
  <c r="AD438" i="5" s="1"/>
  <c r="AA438" i="5"/>
  <c r="AB52" i="5"/>
  <c r="AB278" i="5"/>
  <c r="AC425" i="5"/>
  <c r="AE425" i="5" s="1"/>
  <c r="Y30" i="5"/>
  <c r="Y77" i="5"/>
  <c r="X382" i="5"/>
  <c r="AB169" i="5"/>
  <c r="X91" i="5"/>
  <c r="X112" i="5"/>
  <c r="AB324" i="5"/>
  <c r="AA365" i="5"/>
  <c r="AB415" i="5"/>
  <c r="AC83" i="5"/>
  <c r="AD83" i="5" s="1"/>
  <c r="X114" i="5"/>
  <c r="Y187" i="5"/>
  <c r="Y234" i="5"/>
  <c r="AA202" i="5"/>
  <c r="AA310" i="5"/>
  <c r="AA492" i="5"/>
  <c r="AA407" i="5"/>
  <c r="AB485" i="5"/>
  <c r="AC413" i="5"/>
  <c r="BF413" i="5" s="1"/>
  <c r="AC31" i="5"/>
  <c r="AC167" i="5"/>
  <c r="AD167" i="5" s="1"/>
  <c r="AC415" i="5"/>
  <c r="AE415" i="5" s="1"/>
  <c r="AC423" i="5"/>
  <c r="AD423" i="5" s="1"/>
  <c r="AA331" i="5"/>
  <c r="AC432" i="5"/>
  <c r="AE432" i="5" s="1"/>
  <c r="AC129" i="5"/>
  <c r="AE129" i="5" s="1"/>
  <c r="AC224" i="5"/>
  <c r="AC247" i="5"/>
  <c r="BF247" i="5" s="1"/>
  <c r="AC121" i="5"/>
  <c r="AD121" i="5" s="1"/>
  <c r="AC105" i="5"/>
  <c r="BF105" i="5" s="1"/>
  <c r="BG105" i="5" s="1"/>
  <c r="AC104" i="5"/>
  <c r="AC210" i="5"/>
  <c r="AC264" i="5"/>
  <c r="AD264" i="5" s="1"/>
  <c r="AC374" i="5"/>
  <c r="AE374" i="5" s="1"/>
  <c r="AC233" i="5"/>
  <c r="AE233" i="5" s="1"/>
  <c r="AC312" i="5"/>
  <c r="AE312" i="5" s="1"/>
  <c r="AC195" i="5"/>
  <c r="AE195" i="5" s="1"/>
  <c r="AC26" i="5"/>
  <c r="AE26" i="5" s="1"/>
  <c r="AC257" i="5"/>
  <c r="AC108" i="5"/>
  <c r="BF108" i="5" s="1"/>
  <c r="BH108" i="5" s="1"/>
  <c r="AC216" i="5"/>
  <c r="BF216" i="5" s="1"/>
  <c r="BG216" i="5" s="1"/>
  <c r="AA216" i="5"/>
  <c r="AC525" i="5"/>
  <c r="AA525" i="5"/>
  <c r="X362" i="5"/>
  <c r="Y362" i="5"/>
  <c r="AC362" i="5"/>
  <c r="Y358" i="5"/>
  <c r="AC358" i="5"/>
  <c r="AD358" i="5" s="1"/>
  <c r="X276" i="5"/>
  <c r="Y276" i="5"/>
  <c r="X242" i="5"/>
  <c r="Y242" i="5"/>
  <c r="Y244" i="5"/>
  <c r="AC244" i="5"/>
  <c r="AE244" i="5" s="1"/>
  <c r="Y183" i="5"/>
  <c r="X183" i="5"/>
  <c r="X100" i="5"/>
  <c r="Y100" i="5"/>
  <c r="X42" i="5"/>
  <c r="Y42" i="5"/>
  <c r="AC502" i="5"/>
  <c r="BF502" i="5" s="1"/>
  <c r="AA502" i="5"/>
  <c r="AC50" i="5"/>
  <c r="AE50" i="5" s="1"/>
  <c r="X50" i="5"/>
  <c r="AC168" i="5"/>
  <c r="Y168" i="5"/>
  <c r="AA120" i="5"/>
  <c r="AB216" i="5"/>
  <c r="AC469" i="5"/>
  <c r="AD469" i="5" s="1"/>
  <c r="Y33" i="5"/>
  <c r="AB502" i="5"/>
  <c r="Y249" i="5"/>
  <c r="AA357" i="5"/>
  <c r="AC357" i="5"/>
  <c r="BF357" i="5" s="1"/>
  <c r="AC343" i="5"/>
  <c r="AB343" i="5"/>
  <c r="AC265" i="5"/>
  <c r="AD265" i="5" s="1"/>
  <c r="AA265" i="5"/>
  <c r="AB293" i="5"/>
  <c r="AC293" i="5"/>
  <c r="AD293" i="5" s="1"/>
  <c r="AA293" i="5"/>
  <c r="AB256" i="5"/>
  <c r="AA256" i="5"/>
  <c r="AC196" i="5"/>
  <c r="AE196" i="5" s="1"/>
  <c r="AB196" i="5"/>
  <c r="AC141" i="5"/>
  <c r="BF141" i="5" s="1"/>
  <c r="BH141" i="5" s="1"/>
  <c r="AB141" i="5"/>
  <c r="AA135" i="5"/>
  <c r="AB135" i="5"/>
  <c r="AC93" i="5"/>
  <c r="AE93" i="5" s="1"/>
  <c r="AA93" i="5"/>
  <c r="AC55" i="5"/>
  <c r="AD55" i="5" s="1"/>
  <c r="AA55" i="5"/>
  <c r="AC214" i="5"/>
  <c r="BF214" i="5" s="1"/>
  <c r="BG214" i="5" s="1"/>
  <c r="AB214" i="5"/>
  <c r="AC113" i="5"/>
  <c r="BF113" i="5" s="1"/>
  <c r="AA113" i="5"/>
  <c r="AC147" i="5"/>
  <c r="BF147" i="5" s="1"/>
  <c r="BH147" i="5" s="1"/>
  <c r="AB147" i="5"/>
  <c r="AC33" i="5"/>
  <c r="BF33" i="5" s="1"/>
  <c r="BG33" i="5" s="1"/>
  <c r="AB362" i="5"/>
  <c r="AA362" i="5"/>
  <c r="AA519" i="5"/>
  <c r="AC519" i="5"/>
  <c r="AD519" i="5" s="1"/>
  <c r="AB537" i="5"/>
  <c r="AA537" i="5"/>
  <c r="AA400" i="5"/>
  <c r="AC400" i="5"/>
  <c r="AE400" i="5" s="1"/>
  <c r="AB400" i="5"/>
  <c r="AB344" i="5"/>
  <c r="AA344" i="5"/>
  <c r="AB392" i="5"/>
  <c r="AA392" i="5"/>
  <c r="AC392" i="5"/>
  <c r="BF392" i="5" s="1"/>
  <c r="AC284" i="5"/>
  <c r="AA284" i="5"/>
  <c r="AC194" i="5"/>
  <c r="AE194" i="5" s="1"/>
  <c r="AA194" i="5"/>
  <c r="AC87" i="5"/>
  <c r="AE87" i="5" s="1"/>
  <c r="AA87" i="5"/>
  <c r="AC73" i="5"/>
  <c r="AE73" i="5" s="1"/>
  <c r="AB73" i="5"/>
  <c r="AC144" i="5"/>
  <c r="BF144" i="5" s="1"/>
  <c r="BH144" i="5" s="1"/>
  <c r="AB144" i="5"/>
  <c r="AC261" i="5"/>
  <c r="AE261" i="5" s="1"/>
  <c r="AA261" i="5"/>
  <c r="AC399" i="5"/>
  <c r="AE399" i="5" s="1"/>
  <c r="AB399" i="5"/>
  <c r="AA513" i="5"/>
  <c r="AC513" i="5"/>
  <c r="AE513" i="5" s="1"/>
  <c r="Y344" i="5"/>
  <c r="AC344" i="5"/>
  <c r="BF344" i="5" s="1"/>
  <c r="X344" i="5"/>
  <c r="X294" i="5"/>
  <c r="Y294" i="5"/>
  <c r="X199" i="5"/>
  <c r="Y199" i="5"/>
  <c r="Y113" i="5"/>
  <c r="X113" i="5"/>
  <c r="X54" i="5"/>
  <c r="Y54" i="5"/>
  <c r="AC371" i="5"/>
  <c r="AE371" i="5" s="1"/>
  <c r="AA371" i="5"/>
  <c r="AC106" i="5"/>
  <c r="AD106" i="5" s="1"/>
  <c r="Y106" i="5"/>
  <c r="AA552" i="5"/>
  <c r="AC552" i="5"/>
  <c r="AD552" i="5" s="1"/>
  <c r="AB552" i="5"/>
  <c r="AB210" i="5"/>
  <c r="AB513" i="5"/>
  <c r="AC211" i="5"/>
  <c r="AD211" i="5" s="1"/>
  <c r="X168" i="5"/>
  <c r="AB371" i="5"/>
  <c r="X120" i="5"/>
  <c r="AC418" i="5"/>
  <c r="BF418" i="5" s="1"/>
  <c r="BG418" i="5" s="1"/>
  <c r="AA418" i="5"/>
  <c r="AB418" i="5"/>
  <c r="AB319" i="5"/>
  <c r="AC319" i="5"/>
  <c r="BF319" i="5" s="1"/>
  <c r="BH319" i="5" s="1"/>
  <c r="AA319" i="5"/>
  <c r="AC230" i="5"/>
  <c r="AE230" i="5" s="1"/>
  <c r="AA230" i="5"/>
  <c r="AB230" i="5"/>
  <c r="AC180" i="5"/>
  <c r="AD180" i="5" s="1"/>
  <c r="AA180" i="5"/>
  <c r="AB180" i="5"/>
  <c r="AB102" i="5"/>
  <c r="AC102" i="5"/>
  <c r="AD102" i="5" s="1"/>
  <c r="AC62" i="5"/>
  <c r="BF62" i="5" s="1"/>
  <c r="BG62" i="5" s="1"/>
  <c r="AB62" i="5"/>
  <c r="AA62" i="5"/>
  <c r="AC41" i="5"/>
  <c r="AE41" i="5" s="1"/>
  <c r="AB41" i="5"/>
  <c r="AA41" i="5"/>
  <c r="AC236" i="5"/>
  <c r="AE236" i="5" s="1"/>
  <c r="AB236" i="5"/>
  <c r="AC157" i="5"/>
  <c r="BF157" i="5" s="1"/>
  <c r="BH157" i="5" s="1"/>
  <c r="AB157" i="5"/>
  <c r="AA445" i="5"/>
  <c r="AC445" i="5"/>
  <c r="AE445" i="5" s="1"/>
  <c r="AA104" i="5"/>
  <c r="AA431" i="5"/>
  <c r="AB396" i="5"/>
  <c r="AA479" i="5"/>
  <c r="AB553" i="5"/>
  <c r="AC135" i="5"/>
  <c r="Y105" i="5"/>
  <c r="Y121" i="5"/>
  <c r="X247" i="5"/>
  <c r="X224" i="5"/>
  <c r="X129" i="5"/>
  <c r="X432" i="5"/>
  <c r="AA210" i="5"/>
  <c r="AB525" i="5"/>
  <c r="AB515" i="5"/>
  <c r="Y141" i="5"/>
  <c r="AB113" i="5"/>
  <c r="AA218" i="5"/>
  <c r="AA264" i="5"/>
  <c r="AA309" i="5"/>
  <c r="AA274" i="5"/>
  <c r="AB445" i="5"/>
  <c r="AB354" i="5"/>
  <c r="AC36" i="5"/>
  <c r="AD36" i="5" s="1"/>
  <c r="Y63" i="5"/>
  <c r="Y220" i="5"/>
  <c r="Y419" i="5"/>
  <c r="AA196" i="5"/>
  <c r="AB310" i="5"/>
  <c r="AB357" i="5"/>
  <c r="AA454" i="5"/>
  <c r="AB519" i="5"/>
  <c r="AC120" i="5"/>
  <c r="AD120" i="5" s="1"/>
  <c r="AC199" i="5"/>
  <c r="AC322" i="5"/>
  <c r="AD322" i="5" s="1"/>
  <c r="AC175" i="5"/>
  <c r="AE175" i="5" s="1"/>
  <c r="AC183" i="5"/>
  <c r="BF183" i="5" s="1"/>
  <c r="BH183" i="5" s="1"/>
  <c r="AC156" i="5"/>
  <c r="AC37" i="5"/>
  <c r="AE37" i="5" s="1"/>
  <c r="AC291" i="5"/>
  <c r="AE291" i="5" s="1"/>
  <c r="AC100" i="5"/>
  <c r="BF100" i="5" s="1"/>
  <c r="AC42" i="5"/>
  <c r="AE42" i="5" s="1"/>
  <c r="AB490" i="5"/>
  <c r="AA490" i="5"/>
  <c r="AC528" i="5"/>
  <c r="BF528" i="5" s="1"/>
  <c r="BG528" i="5" s="1"/>
  <c r="AB528" i="5"/>
  <c r="AC68" i="5"/>
  <c r="AD68" i="5" s="1"/>
  <c r="AC245" i="5"/>
  <c r="AC306" i="5"/>
  <c r="AE306" i="5" s="1"/>
  <c r="AC368" i="5"/>
  <c r="AE368" i="5" s="1"/>
  <c r="AC294" i="5"/>
  <c r="AE294" i="5" s="1"/>
  <c r="AC419" i="5"/>
  <c r="AD419" i="5" s="1"/>
  <c r="AC205" i="5"/>
  <c r="AE205" i="5" s="1"/>
  <c r="AC523" i="5"/>
  <c r="AE523" i="5" s="1"/>
  <c r="AC215" i="5"/>
  <c r="BF215" i="5" s="1"/>
  <c r="BH215" i="5" s="1"/>
  <c r="AC271" i="5"/>
  <c r="AC54" i="5"/>
  <c r="BF54" i="5" s="1"/>
  <c r="AC295" i="5"/>
  <c r="AC234" i="5"/>
  <c r="BF234" i="5" s="1"/>
  <c r="BH234" i="5" s="1"/>
  <c r="AA234" i="5"/>
  <c r="AC173" i="5"/>
  <c r="BF173" i="5" s="1"/>
  <c r="AB173" i="5"/>
  <c r="AC117" i="5"/>
  <c r="BF117" i="5" s="1"/>
  <c r="BH117" i="5" s="1"/>
  <c r="AB117" i="5"/>
  <c r="AC254" i="5"/>
  <c r="AD254" i="5" s="1"/>
  <c r="AA254" i="5"/>
  <c r="AA238" i="5"/>
  <c r="AB238" i="5"/>
  <c r="AC164" i="5"/>
  <c r="AD164" i="5" s="1"/>
  <c r="AA164" i="5"/>
  <c r="AB226" i="5"/>
  <c r="AA514" i="5"/>
  <c r="AC114" i="5"/>
  <c r="AD114" i="5" s="1"/>
  <c r="AC383" i="5"/>
  <c r="AE383" i="5" s="1"/>
  <c r="AB137" i="5"/>
  <c r="AA328" i="5"/>
  <c r="AC511" i="5"/>
  <c r="AD511" i="5" s="1"/>
  <c r="AB23" i="5"/>
  <c r="AA114" i="5"/>
  <c r="AB213" i="5"/>
  <c r="AA163" i="5"/>
  <c r="AB254" i="5"/>
  <c r="AB297" i="5"/>
  <c r="AB474" i="5"/>
  <c r="AC187" i="5"/>
  <c r="AD187" i="5" s="1"/>
  <c r="AC286" i="5"/>
  <c r="BF286" i="5" s="1"/>
  <c r="AA383" i="5"/>
  <c r="AC139" i="5"/>
  <c r="AD139" i="5" s="1"/>
  <c r="AC74" i="5"/>
  <c r="AD74" i="5" s="1"/>
  <c r="AC213" i="5"/>
  <c r="BF213" i="5" s="1"/>
  <c r="AC369" i="5"/>
  <c r="AE369" i="5" s="1"/>
  <c r="AA369" i="5"/>
  <c r="AA277" i="5"/>
  <c r="AC277" i="5"/>
  <c r="AE277" i="5" s="1"/>
  <c r="AC165" i="5"/>
  <c r="AD165" i="5" s="1"/>
  <c r="AB165" i="5"/>
  <c r="AC240" i="5"/>
  <c r="AD240" i="5" s="1"/>
  <c r="AA240" i="5"/>
  <c r="AC170" i="5"/>
  <c r="AB170" i="5"/>
  <c r="AC158" i="5"/>
  <c r="AE158" i="5" s="1"/>
  <c r="AB158" i="5"/>
  <c r="AB92" i="5"/>
  <c r="AC92" i="5"/>
  <c r="AE92" i="5" s="1"/>
  <c r="AC51" i="5"/>
  <c r="BF51" i="5" s="1"/>
  <c r="BG51" i="5" s="1"/>
  <c r="AA51" i="5"/>
  <c r="AA439" i="5"/>
  <c r="AC439" i="5"/>
  <c r="AD439" i="5" s="1"/>
  <c r="AC252" i="5"/>
  <c r="BF252" i="5" s="1"/>
  <c r="AA252" i="5"/>
  <c r="AC171" i="5"/>
  <c r="BF171" i="5" s="1"/>
  <c r="BH171" i="5" s="1"/>
  <c r="AA171" i="5"/>
  <c r="AC474" i="5"/>
  <c r="AC287" i="5"/>
  <c r="AD287" i="5" s="1"/>
  <c r="AA287" i="5"/>
  <c r="AC267" i="5"/>
  <c r="BF267" i="5" s="1"/>
  <c r="AA267" i="5"/>
  <c r="AA126" i="5"/>
  <c r="AC126" i="5"/>
  <c r="BF126" i="5" s="1"/>
  <c r="AC67" i="5"/>
  <c r="AE67" i="5" s="1"/>
  <c r="AA67" i="5"/>
  <c r="AB179" i="5"/>
  <c r="AC179" i="5"/>
  <c r="BF179" i="5" s="1"/>
  <c r="BG179" i="5" s="1"/>
  <c r="AA531" i="5"/>
  <c r="AC531" i="5"/>
  <c r="AC529" i="5"/>
  <c r="AA529" i="5"/>
  <c r="AA245" i="5"/>
  <c r="AC431" i="5"/>
  <c r="AD431" i="5" s="1"/>
  <c r="AA66" i="5"/>
  <c r="AA226" i="5"/>
  <c r="AB245" i="5"/>
  <c r="AB306" i="5"/>
  <c r="AA137" i="5"/>
  <c r="AB446" i="5"/>
  <c r="AA409" i="5"/>
  <c r="AC297" i="5"/>
  <c r="AE297" i="5" s="1"/>
  <c r="AB74" i="5"/>
  <c r="AB163" i="5"/>
  <c r="AB300" i="5"/>
  <c r="AA379" i="5"/>
  <c r="AA286" i="5"/>
  <c r="AA398" i="5"/>
  <c r="AB531" i="5"/>
  <c r="AA469" i="5"/>
  <c r="AC75" i="5"/>
  <c r="AC185" i="5"/>
  <c r="AD185" i="5" s="1"/>
  <c r="AB40" i="5"/>
  <c r="AA158" i="5"/>
  <c r="AB185" i="5"/>
  <c r="AA173" i="5"/>
  <c r="AA165" i="5"/>
  <c r="AA315" i="5"/>
  <c r="AB287" i="5"/>
  <c r="AC40" i="5"/>
  <c r="AC518" i="5"/>
  <c r="AC522" i="5"/>
  <c r="AD522" i="5" s="1"/>
  <c r="AB522" i="5"/>
  <c r="AA450" i="5"/>
  <c r="AB450" i="5"/>
  <c r="AC459" i="5"/>
  <c r="AD459" i="5" s="1"/>
  <c r="AA459" i="5"/>
  <c r="AB459" i="5"/>
  <c r="AC28" i="5"/>
  <c r="AA28" i="5"/>
  <c r="AA402" i="5"/>
  <c r="AB402" i="5"/>
  <c r="AB59" i="5"/>
  <c r="AC59" i="5"/>
  <c r="AE59" i="5" s="1"/>
  <c r="AB66" i="5"/>
  <c r="AB95" i="5"/>
  <c r="AA128" i="5"/>
  <c r="AA306" i="5"/>
  <c r="AB272" i="5"/>
  <c r="AA446" i="5"/>
  <c r="AB438" i="5"/>
  <c r="AB409" i="5"/>
  <c r="AB68" i="5"/>
  <c r="AB139" i="5"/>
  <c r="AA300" i="5"/>
  <c r="AA511" i="5"/>
  <c r="AA518" i="5"/>
  <c r="AC124" i="5"/>
  <c r="AD124" i="5" s="1"/>
  <c r="AA81" i="5"/>
  <c r="AA149" i="5"/>
  <c r="AB124" i="5"/>
  <c r="AA220" i="5"/>
  <c r="AA269" i="5"/>
  <c r="AB267" i="5"/>
  <c r="AC285" i="5"/>
  <c r="AC280" i="5"/>
  <c r="BF280" i="5" s="1"/>
  <c r="AC133" i="5"/>
  <c r="AD133" i="5" s="1"/>
  <c r="AC56" i="5"/>
  <c r="AE56" i="5" s="1"/>
  <c r="AA56" i="5"/>
  <c r="AC122" i="5"/>
  <c r="AB122" i="5"/>
  <c r="AC221" i="5"/>
  <c r="AE221" i="5" s="1"/>
  <c r="AB221" i="5"/>
  <c r="AC304" i="5"/>
  <c r="AE304" i="5" s="1"/>
  <c r="AA304" i="5"/>
  <c r="AB416" i="5"/>
  <c r="AC416" i="5"/>
  <c r="AE416" i="5" s="1"/>
  <c r="AB299" i="5"/>
  <c r="AC299" i="5"/>
  <c r="BF299" i="5" s="1"/>
  <c r="BG299" i="5" s="1"/>
  <c r="AA299" i="5"/>
  <c r="AB387" i="5"/>
  <c r="AC387" i="5"/>
  <c r="AD387" i="5" s="1"/>
  <c r="AB386" i="5"/>
  <c r="AC386" i="5"/>
  <c r="AA386" i="5"/>
  <c r="AA544" i="5"/>
  <c r="AC544" i="5"/>
  <c r="AA301" i="5"/>
  <c r="AC301" i="5"/>
  <c r="BF301" i="5" s="1"/>
  <c r="AB217" i="5"/>
  <c r="AC217" i="5"/>
  <c r="BF217" i="5" s="1"/>
  <c r="AA142" i="5"/>
  <c r="AC142" i="5"/>
  <c r="BF142" i="5" s="1"/>
  <c r="AB119" i="5"/>
  <c r="AC119" i="5"/>
  <c r="AD119" i="5" s="1"/>
  <c r="AB86" i="5"/>
  <c r="AC86" i="5"/>
  <c r="AD86" i="5" s="1"/>
  <c r="AB352" i="5"/>
  <c r="AC352" i="5"/>
  <c r="BF352" i="5" s="1"/>
  <c r="BH352" i="5" s="1"/>
  <c r="AA333" i="5"/>
  <c r="AC333" i="5"/>
  <c r="AD333" i="5" s="1"/>
  <c r="AB263" i="5"/>
  <c r="AC263" i="5"/>
  <c r="AE263" i="5" s="1"/>
  <c r="AB201" i="5"/>
  <c r="AC201" i="5"/>
  <c r="BF201" i="5" s="1"/>
  <c r="BG201" i="5" s="1"/>
  <c r="AB225" i="5"/>
  <c r="AC225" i="5"/>
  <c r="AD225" i="5" s="1"/>
  <c r="AB78" i="5"/>
  <c r="AC78" i="5"/>
  <c r="BF78" i="5" s="1"/>
  <c r="AB24" i="5"/>
  <c r="AC24" i="5"/>
  <c r="AD24" i="5" s="1"/>
  <c r="AC166" i="5"/>
  <c r="AD166" i="5" s="1"/>
  <c r="AC184" i="5"/>
  <c r="BF184" i="5" s="1"/>
  <c r="AC197" i="5"/>
  <c r="AD197" i="5" s="1"/>
  <c r="AC140" i="5"/>
  <c r="AD140" i="5" s="1"/>
  <c r="AC476" i="5"/>
  <c r="AD476" i="5" s="1"/>
  <c r="AC407" i="5"/>
  <c r="AE407" i="5" s="1"/>
  <c r="AC305" i="5"/>
  <c r="BF305" i="5" s="1"/>
  <c r="BH305" i="5" s="1"/>
  <c r="AC517" i="5"/>
  <c r="BF517" i="5" s="1"/>
  <c r="AB109" i="5"/>
  <c r="AB370" i="5"/>
  <c r="AA378" i="5"/>
  <c r="AA500" i="5"/>
  <c r="AB484" i="5"/>
  <c r="AB471" i="5"/>
  <c r="AA483" i="5"/>
  <c r="AC403" i="5"/>
  <c r="AD403" i="5" s="1"/>
  <c r="AB366" i="5"/>
  <c r="AB492" i="5"/>
  <c r="AB493" i="5"/>
  <c r="AB526" i="5"/>
  <c r="AC451" i="5"/>
  <c r="BF451" i="5" s="1"/>
  <c r="BG451" i="5" s="1"/>
  <c r="AC260" i="5"/>
  <c r="BF260" i="5" s="1"/>
  <c r="BH260" i="5" s="1"/>
  <c r="AB389" i="5"/>
  <c r="AC389" i="5"/>
  <c r="BF389" i="5" s="1"/>
  <c r="AB556" i="5"/>
  <c r="AA556" i="5"/>
  <c r="AC316" i="5"/>
  <c r="AD316" i="5" s="1"/>
  <c r="AA316" i="5"/>
  <c r="AB316" i="5"/>
  <c r="AA508" i="5"/>
  <c r="AB508" i="5"/>
  <c r="AC429" i="5"/>
  <c r="AD429" i="5" s="1"/>
  <c r="AA429" i="5"/>
  <c r="AB429" i="5"/>
  <c r="AB503" i="5"/>
  <c r="AA503" i="5"/>
  <c r="AA432" i="5"/>
  <c r="AB432" i="5"/>
  <c r="AB505" i="5"/>
  <c r="AA505" i="5"/>
  <c r="AA437" i="5"/>
  <c r="AC437" i="5"/>
  <c r="AD437" i="5" s="1"/>
  <c r="AB437" i="5"/>
  <c r="AA388" i="5"/>
  <c r="AB388" i="5"/>
  <c r="AA311" i="5"/>
  <c r="AC311" i="5"/>
  <c r="BF311" i="5" s="1"/>
  <c r="BH311" i="5" s="1"/>
  <c r="AB311" i="5"/>
  <c r="AA377" i="5"/>
  <c r="AB377" i="5"/>
  <c r="AC398" i="5"/>
  <c r="AA60" i="5"/>
  <c r="AA204" i="5"/>
  <c r="AB259" i="5"/>
  <c r="AA294" i="5"/>
  <c r="AA320" i="5"/>
  <c r="AA395" i="5"/>
  <c r="AA345" i="5"/>
  <c r="AA462" i="5"/>
  <c r="AB189" i="5"/>
  <c r="AA455" i="5"/>
  <c r="AA520" i="5"/>
  <c r="AA530" i="5"/>
  <c r="AB368" i="5"/>
  <c r="AA447" i="5"/>
  <c r="AC393" i="5"/>
  <c r="BF393" i="5" s="1"/>
  <c r="AA35" i="5"/>
  <c r="AA97" i="5"/>
  <c r="AB130" i="5"/>
  <c r="AA222" i="5"/>
  <c r="AA338" i="5"/>
  <c r="AC545" i="5"/>
  <c r="AD545" i="5" s="1"/>
  <c r="AB419" i="5"/>
  <c r="AA367" i="5"/>
  <c r="AA548" i="5"/>
  <c r="AA440" i="5"/>
  <c r="AB440" i="5"/>
  <c r="AB346" i="5"/>
  <c r="AC346" i="5"/>
  <c r="AA346" i="5"/>
  <c r="AA330" i="5"/>
  <c r="AB330" i="5"/>
  <c r="AA288" i="5"/>
  <c r="AB288" i="5"/>
  <c r="AB237" i="5"/>
  <c r="AA237" i="5"/>
  <c r="AA192" i="5"/>
  <c r="AC192" i="5"/>
  <c r="BF192" i="5" s="1"/>
  <c r="AB192" i="5"/>
  <c r="AB143" i="5"/>
  <c r="AA143" i="5"/>
  <c r="AC143" i="5"/>
  <c r="AD143" i="5" s="1"/>
  <c r="AB155" i="5"/>
  <c r="AC155" i="5"/>
  <c r="AA155" i="5"/>
  <c r="AB101" i="5"/>
  <c r="AC101" i="5"/>
  <c r="AE101" i="5" s="1"/>
  <c r="AA101" i="5"/>
  <c r="AB57" i="5"/>
  <c r="AA57" i="5"/>
  <c r="AA49" i="5"/>
  <c r="AB49" i="5"/>
  <c r="AC361" i="5"/>
  <c r="AE361" i="5" s="1"/>
  <c r="AB361" i="5"/>
  <c r="AC181" i="5"/>
  <c r="AB181" i="5"/>
  <c r="AC123" i="5"/>
  <c r="AB123" i="5"/>
  <c r="AC80" i="5"/>
  <c r="AE80" i="5" s="1"/>
  <c r="AA80" i="5"/>
  <c r="AC503" i="5"/>
  <c r="AA37" i="5"/>
  <c r="AA24" i="5"/>
  <c r="AA78" i="5"/>
  <c r="AB91" i="5"/>
  <c r="AB98" i="5"/>
  <c r="AB133" i="5"/>
  <c r="AA134" i="5"/>
  <c r="AA156" i="5"/>
  <c r="AA176" i="5"/>
  <c r="AA195" i="5"/>
  <c r="AA225" i="5"/>
  <c r="AA197" i="5"/>
  <c r="AA201" i="5"/>
  <c r="AB253" i="5"/>
  <c r="AB307" i="5"/>
  <c r="AB290" i="5"/>
  <c r="AA263" i="5"/>
  <c r="AB314" i="5"/>
  <c r="AB333" i="5"/>
  <c r="AA417" i="5"/>
  <c r="AA352" i="5"/>
  <c r="AC32" i="5"/>
  <c r="BF32" i="5" s="1"/>
  <c r="AC302" i="5"/>
  <c r="AD302" i="5" s="1"/>
  <c r="AA25" i="5"/>
  <c r="AA63" i="5"/>
  <c r="AB32" i="5"/>
  <c r="AA82" i="5"/>
  <c r="AA86" i="5"/>
  <c r="AA125" i="5"/>
  <c r="AA119" i="5"/>
  <c r="AB142" i="5"/>
  <c r="AA166" i="5"/>
  <c r="AA183" i="5"/>
  <c r="AA217" i="5"/>
  <c r="AA184" i="5"/>
  <c r="AB198" i="5"/>
  <c r="AB242" i="5"/>
  <c r="AB302" i="5"/>
  <c r="AB280" i="5"/>
  <c r="AA255" i="5"/>
  <c r="AB301" i="5"/>
  <c r="AA243" i="5"/>
  <c r="AB404" i="5"/>
  <c r="AB292" i="5"/>
  <c r="AC242" i="5"/>
  <c r="AD242" i="5" s="1"/>
  <c r="AC404" i="5"/>
  <c r="AD404" i="5" s="1"/>
  <c r="AC307" i="5"/>
  <c r="AC176" i="5"/>
  <c r="AC98" i="5"/>
  <c r="AC243" i="5"/>
  <c r="AC82" i="5"/>
  <c r="AE82" i="5" s="1"/>
  <c r="AC314" i="5"/>
  <c r="AD314" i="5" s="1"/>
  <c r="AC292" i="5"/>
  <c r="AD292" i="5" s="1"/>
  <c r="AC91" i="5"/>
  <c r="AD91" i="5" s="1"/>
  <c r="AC63" i="5"/>
  <c r="BF63" i="5" s="1"/>
  <c r="AC255" i="5"/>
  <c r="AD255" i="5" s="1"/>
  <c r="AB37" i="5"/>
  <c r="AB134" i="5"/>
  <c r="AB156" i="5"/>
  <c r="AB195" i="5"/>
  <c r="AA253" i="5"/>
  <c r="AA290" i="5"/>
  <c r="AB417" i="5"/>
  <c r="AC125" i="5"/>
  <c r="AE125" i="5" s="1"/>
  <c r="AB183" i="5"/>
  <c r="AA198" i="5"/>
  <c r="BI238" i="5" l="1"/>
  <c r="AR402" i="5"/>
  <c r="AQ402" i="5"/>
  <c r="BI48" i="5"/>
  <c r="BI266" i="5"/>
  <c r="AR148" i="5"/>
  <c r="AQ48" i="5"/>
  <c r="BI58" i="5"/>
  <c r="BJ58" i="5" s="1"/>
  <c r="AR238" i="5"/>
  <c r="AR525" i="5"/>
  <c r="AR493" i="5"/>
  <c r="AQ493" i="5"/>
  <c r="AQ344" i="5"/>
  <c r="AQ505" i="5"/>
  <c r="AR505" i="5"/>
  <c r="AQ300" i="5"/>
  <c r="V11" i="5"/>
  <c r="AR299" i="5"/>
  <c r="AQ260" i="5"/>
  <c r="BI451" i="5"/>
  <c r="AQ299" i="5"/>
  <c r="AQ430" i="5"/>
  <c r="AR260" i="5"/>
  <c r="BI248" i="5"/>
  <c r="AR58" i="5"/>
  <c r="AR430" i="5"/>
  <c r="AR437" i="5"/>
  <c r="AQ411" i="5"/>
  <c r="AR60" i="5"/>
  <c r="AR318" i="5"/>
  <c r="AQ318" i="5"/>
  <c r="AQ60" i="5"/>
  <c r="BI392" i="5"/>
  <c r="AQ75" i="5"/>
  <c r="AQ315" i="5"/>
  <c r="AR503" i="5"/>
  <c r="AR195" i="5"/>
  <c r="BI75" i="5"/>
  <c r="BJ75" i="5" s="1"/>
  <c r="AR334" i="5"/>
  <c r="BI315" i="5"/>
  <c r="BK315" i="5" s="1"/>
  <c r="BI503" i="5"/>
  <c r="BK503" i="5" s="1"/>
  <c r="AQ195" i="5"/>
  <c r="AQ334" i="5"/>
  <c r="AQ518" i="5"/>
  <c r="AR113" i="5"/>
  <c r="AR408" i="5"/>
  <c r="R11" i="5"/>
  <c r="AR518" i="5"/>
  <c r="AQ181" i="5"/>
  <c r="BI113" i="5"/>
  <c r="AQ408" i="5"/>
  <c r="AQ439" i="5"/>
  <c r="AQ270" i="5"/>
  <c r="AR181" i="5"/>
  <c r="AR439" i="5"/>
  <c r="AR297" i="5"/>
  <c r="BI380" i="5"/>
  <c r="AR270" i="5"/>
  <c r="AR459" i="5"/>
  <c r="AR158" i="5"/>
  <c r="AQ433" i="5"/>
  <c r="AQ459" i="5"/>
  <c r="AQ158" i="5"/>
  <c r="BI262" i="5"/>
  <c r="BJ262" i="5" s="1"/>
  <c r="AY11" i="5"/>
  <c r="AR386" i="5"/>
  <c r="AR129" i="5"/>
  <c r="AR235" i="5"/>
  <c r="AR400" i="5"/>
  <c r="AQ129" i="5"/>
  <c r="AQ400" i="5"/>
  <c r="AQ29" i="5"/>
  <c r="AR471" i="5"/>
  <c r="AR29" i="5"/>
  <c r="AQ303" i="5"/>
  <c r="BI471" i="5"/>
  <c r="BK471" i="5" s="1"/>
  <c r="AR105" i="5"/>
  <c r="AR495" i="5"/>
  <c r="AQ25" i="5"/>
  <c r="BI498" i="5"/>
  <c r="BK498" i="5" s="1"/>
  <c r="BM498" i="5" s="1"/>
  <c r="BI235" i="5"/>
  <c r="AR340" i="5"/>
  <c r="BI386" i="5"/>
  <c r="BJ386" i="5" s="1"/>
  <c r="BI340" i="5"/>
  <c r="AQ124" i="5"/>
  <c r="AR557" i="5"/>
  <c r="BI124" i="5"/>
  <c r="BK124" i="5" s="1"/>
  <c r="AR267" i="5"/>
  <c r="AQ557" i="5"/>
  <c r="AQ155" i="5"/>
  <c r="BI267" i="5"/>
  <c r="BI155" i="5"/>
  <c r="BJ155" i="5" s="1"/>
  <c r="BI250" i="5"/>
  <c r="AQ379" i="5"/>
  <c r="AR403" i="5"/>
  <c r="BI481" i="5"/>
  <c r="AQ385" i="5"/>
  <c r="AQ403" i="5"/>
  <c r="AR246" i="5"/>
  <c r="BI308" i="5"/>
  <c r="BK308" i="5" s="1"/>
  <c r="BI246" i="5"/>
  <c r="BJ246" i="5" s="1"/>
  <c r="AQ91" i="5"/>
  <c r="BI91" i="5"/>
  <c r="BK91" i="5" s="1"/>
  <c r="AR279" i="5"/>
  <c r="BI279" i="5"/>
  <c r="AQ513" i="5"/>
  <c r="BI513" i="5"/>
  <c r="BJ513" i="5" s="1"/>
  <c r="AR333" i="5"/>
  <c r="BI247" i="5"/>
  <c r="AR203" i="5"/>
  <c r="AQ316" i="5"/>
  <c r="BI437" i="5"/>
  <c r="BJ437" i="5" s="1"/>
  <c r="AR202" i="5"/>
  <c r="BI202" i="5"/>
  <c r="BJ202" i="5" s="1"/>
  <c r="AR441" i="5"/>
  <c r="AQ328" i="5"/>
  <c r="AQ441" i="5"/>
  <c r="AR248" i="5"/>
  <c r="AR394" i="5"/>
  <c r="BI131" i="5"/>
  <c r="BJ131" i="5" s="1"/>
  <c r="BI420" i="5"/>
  <c r="AR43" i="5"/>
  <c r="AR420" i="5"/>
  <c r="AR301" i="5"/>
  <c r="BI301" i="5"/>
  <c r="BJ301" i="5" s="1"/>
  <c r="AQ65" i="5"/>
  <c r="AQ374" i="5"/>
  <c r="AR434" i="5"/>
  <c r="AR312" i="5"/>
  <c r="AQ434" i="5"/>
  <c r="AR416" i="5"/>
  <c r="AR230" i="5"/>
  <c r="AQ416" i="5"/>
  <c r="AR103" i="5"/>
  <c r="AR281" i="5"/>
  <c r="BI54" i="5"/>
  <c r="BJ54" i="5" s="1"/>
  <c r="AQ148" i="5"/>
  <c r="AR384" i="5"/>
  <c r="BI463" i="5"/>
  <c r="AQ266" i="5"/>
  <c r="AR321" i="5"/>
  <c r="AR229" i="5"/>
  <c r="AQ425" i="5"/>
  <c r="AR492" i="5"/>
  <c r="AQ185" i="5"/>
  <c r="BI321" i="5"/>
  <c r="BJ321" i="5" s="1"/>
  <c r="AR409" i="5"/>
  <c r="AR185" i="5"/>
  <c r="AQ375" i="5"/>
  <c r="AR112" i="5"/>
  <c r="BI409" i="5"/>
  <c r="BJ409" i="5" s="1"/>
  <c r="BI375" i="5"/>
  <c r="BJ375" i="5" s="1"/>
  <c r="AQ112" i="5"/>
  <c r="AQ454" i="5"/>
  <c r="AQ367" i="5"/>
  <c r="AR454" i="5"/>
  <c r="AQ82" i="5"/>
  <c r="AQ221" i="5"/>
  <c r="AR367" i="5"/>
  <c r="AR82" i="5"/>
  <c r="AR221" i="5"/>
  <c r="AR99" i="5"/>
  <c r="AQ555" i="5"/>
  <c r="AR335" i="5"/>
  <c r="AQ99" i="5"/>
  <c r="AQ532" i="5"/>
  <c r="AR555" i="5"/>
  <c r="AQ335" i="5"/>
  <c r="BI532" i="5"/>
  <c r="BJ532" i="5" s="1"/>
  <c r="AQ333" i="5"/>
  <c r="AR463" i="5"/>
  <c r="BI328" i="5"/>
  <c r="BJ328" i="5" s="1"/>
  <c r="BI121" i="5"/>
  <c r="BK121" i="5" s="1"/>
  <c r="AR149" i="5"/>
  <c r="AR558" i="5"/>
  <c r="AR378" i="5"/>
  <c r="AR396" i="5"/>
  <c r="AR8" i="5"/>
  <c r="AQ54" i="5"/>
  <c r="AQ59" i="5"/>
  <c r="AR59" i="5"/>
  <c r="BI281" i="5"/>
  <c r="BJ281" i="5" s="1"/>
  <c r="AR370" i="5"/>
  <c r="BI370" i="5"/>
  <c r="BJ370" i="5" s="1"/>
  <c r="AR344" i="5"/>
  <c r="AR121" i="5"/>
  <c r="BI149" i="5"/>
  <c r="AQ8" i="5"/>
  <c r="AR307" i="5"/>
  <c r="BI378" i="5"/>
  <c r="BK378" i="5" s="1"/>
  <c r="BI558" i="5"/>
  <c r="BJ558" i="5" s="1"/>
  <c r="AR444" i="5"/>
  <c r="AC11" i="5"/>
  <c r="AE11" i="5" s="1"/>
  <c r="AQ101" i="5"/>
  <c r="Y11" i="5"/>
  <c r="AQ351" i="5"/>
  <c r="AQ514" i="5"/>
  <c r="AR351" i="5"/>
  <c r="BI514" i="5"/>
  <c r="BJ514" i="5" s="1"/>
  <c r="AQ349" i="5"/>
  <c r="AR140" i="5"/>
  <c r="AR313" i="5"/>
  <c r="AQ313" i="5"/>
  <c r="AQ144" i="5"/>
  <c r="BI144" i="5"/>
  <c r="BK144" i="5" s="1"/>
  <c r="BM144" i="5" s="1"/>
  <c r="AR92" i="5"/>
  <c r="AR289" i="5"/>
  <c r="BI543" i="5"/>
  <c r="BK543" i="5" s="1"/>
  <c r="AQ293" i="5"/>
  <c r="AQ307" i="5"/>
  <c r="AQ289" i="5"/>
  <c r="AR429" i="5"/>
  <c r="AQ164" i="5"/>
  <c r="AR68" i="5"/>
  <c r="AR354" i="5"/>
  <c r="BI429" i="5"/>
  <c r="BK429" i="5" s="1"/>
  <c r="AQ354" i="5"/>
  <c r="AQ381" i="5"/>
  <c r="AR237" i="5"/>
  <c r="BI381" i="5"/>
  <c r="BJ381" i="5" s="1"/>
  <c r="AR346" i="5"/>
  <c r="BI237" i="5"/>
  <c r="BJ237" i="5" s="1"/>
  <c r="AR290" i="5"/>
  <c r="AQ126" i="5"/>
  <c r="AQ268" i="5"/>
  <c r="BI421" i="5"/>
  <c r="BJ421" i="5" s="1"/>
  <c r="AQ496" i="5"/>
  <c r="AR126" i="5"/>
  <c r="AQ421" i="5"/>
  <c r="AR496" i="5"/>
  <c r="AR192" i="5"/>
  <c r="AQ192" i="5"/>
  <c r="AR61" i="5"/>
  <c r="AQ213" i="5"/>
  <c r="AR213" i="5"/>
  <c r="AQ548" i="5"/>
  <c r="AR252" i="5"/>
  <c r="AQ329" i="5"/>
  <c r="BI548" i="5"/>
  <c r="BJ548" i="5" s="1"/>
  <c r="BL548" i="5" s="1"/>
  <c r="BI23" i="5"/>
  <c r="BJ23" i="5" s="1"/>
  <c r="AQ312" i="5"/>
  <c r="AR65" i="5"/>
  <c r="AR374" i="5"/>
  <c r="AQ131" i="5"/>
  <c r="AQ230" i="5"/>
  <c r="AQ475" i="5"/>
  <c r="AQ103" i="5"/>
  <c r="AQ143" i="5"/>
  <c r="AR273" i="5"/>
  <c r="AQ547" i="5"/>
  <c r="AR143" i="5"/>
  <c r="AQ273" i="5"/>
  <c r="AR547" i="5"/>
  <c r="AQ552" i="5"/>
  <c r="AR157" i="5"/>
  <c r="AR552" i="5"/>
  <c r="AR111" i="5"/>
  <c r="AR520" i="5"/>
  <c r="AQ157" i="5"/>
  <c r="AQ319" i="5"/>
  <c r="AQ414" i="5"/>
  <c r="AQ111" i="5"/>
  <c r="AQ520" i="5"/>
  <c r="AR116" i="5"/>
  <c r="BI319" i="5"/>
  <c r="BJ319" i="5" s="1"/>
  <c r="AR414" i="5"/>
  <c r="AQ39" i="5"/>
  <c r="AQ116" i="5"/>
  <c r="AR365" i="5"/>
  <c r="AR39" i="5"/>
  <c r="AQ365" i="5"/>
  <c r="AR475" i="5"/>
  <c r="AR250" i="5"/>
  <c r="AR128" i="5"/>
  <c r="BI105" i="5"/>
  <c r="BJ105" i="5" s="1"/>
  <c r="BL105" i="5" s="1"/>
  <c r="AR436" i="5"/>
  <c r="AQ128" i="5"/>
  <c r="AQ436" i="5"/>
  <c r="AR46" i="5"/>
  <c r="AQ286" i="5"/>
  <c r="AQ46" i="5"/>
  <c r="AR286" i="5"/>
  <c r="AR372" i="5"/>
  <c r="AQ502" i="5"/>
  <c r="AR498" i="5"/>
  <c r="AQ372" i="5"/>
  <c r="AR502" i="5"/>
  <c r="AQ478" i="5"/>
  <c r="AR303" i="5"/>
  <c r="AR247" i="5"/>
  <c r="AQ543" i="5"/>
  <c r="AR478" i="5"/>
  <c r="AQ308" i="5"/>
  <c r="AR397" i="5"/>
  <c r="AR23" i="5"/>
  <c r="AQ481" i="5"/>
  <c r="AR455" i="5"/>
  <c r="BI327" i="5"/>
  <c r="BJ327" i="5" s="1"/>
  <c r="AQ501" i="5"/>
  <c r="BI501" i="5"/>
  <c r="BJ501" i="5" s="1"/>
  <c r="AR263" i="5"/>
  <c r="BI24" i="5"/>
  <c r="BJ24" i="5" s="1"/>
  <c r="AR276" i="5"/>
  <c r="BI73" i="5"/>
  <c r="BK73" i="5" s="1"/>
  <c r="AR218" i="5"/>
  <c r="BI50" i="5"/>
  <c r="BJ50" i="5" s="1"/>
  <c r="AR50" i="5"/>
  <c r="AQ474" i="5"/>
  <c r="AQ259" i="5"/>
  <c r="BI302" i="5"/>
  <c r="BJ302" i="5" s="1"/>
  <c r="AQ252" i="5"/>
  <c r="AQ290" i="5"/>
  <c r="AR442" i="5"/>
  <c r="AQ442" i="5"/>
  <c r="BI296" i="5"/>
  <c r="BJ296" i="5" s="1"/>
  <c r="BI377" i="5"/>
  <c r="BK377" i="5" s="1"/>
  <c r="AR231" i="5"/>
  <c r="AQ533" i="5"/>
  <c r="AQ276" i="5"/>
  <c r="AQ61" i="5"/>
  <c r="AQ68" i="5"/>
  <c r="AQ346" i="5"/>
  <c r="AR389" i="5"/>
  <c r="AR435" i="5"/>
  <c r="AR268" i="5"/>
  <c r="AQ549" i="5"/>
  <c r="BI537" i="5"/>
  <c r="BJ537" i="5" s="1"/>
  <c r="AQ435" i="5"/>
  <c r="AR497" i="5"/>
  <c r="AR33" i="5"/>
  <c r="BI33" i="5"/>
  <c r="BJ33" i="5" s="1"/>
  <c r="BL33" i="5" s="1"/>
  <c r="BI519" i="5"/>
  <c r="BK519" i="5" s="1"/>
  <c r="AR347" i="5"/>
  <c r="BI263" i="5"/>
  <c r="BJ263" i="5" s="1"/>
  <c r="BI389" i="5"/>
  <c r="BK389" i="5" s="1"/>
  <c r="AQ455" i="5"/>
  <c r="AR474" i="5"/>
  <c r="AQ218" i="5"/>
  <c r="AR527" i="5"/>
  <c r="AQ347" i="5"/>
  <c r="AQ338" i="5"/>
  <c r="AR261" i="5"/>
  <c r="AQ536" i="5"/>
  <c r="AR280" i="5"/>
  <c r="AR169" i="5"/>
  <c r="AQ527" i="5"/>
  <c r="AR214" i="5"/>
  <c r="AR338" i="5"/>
  <c r="AQ529" i="5"/>
  <c r="AR104" i="5"/>
  <c r="AQ391" i="5"/>
  <c r="AR536" i="5"/>
  <c r="AQ280" i="5"/>
  <c r="BI169" i="5"/>
  <c r="BJ169" i="5" s="1"/>
  <c r="BL169" i="5" s="1"/>
  <c r="BI214" i="5"/>
  <c r="BJ214" i="5" s="1"/>
  <c r="BL214" i="5" s="1"/>
  <c r="BI529" i="5"/>
  <c r="BJ529" i="5" s="1"/>
  <c r="AQ104" i="5"/>
  <c r="AR391" i="5"/>
  <c r="AQ560" i="5"/>
  <c r="AQ166" i="5"/>
  <c r="AR274" i="5"/>
  <c r="AR499" i="5"/>
  <c r="AR472" i="5"/>
  <c r="AR560" i="5"/>
  <c r="BI166" i="5"/>
  <c r="BJ166" i="5" s="1"/>
  <c r="AQ274" i="5"/>
  <c r="AQ311" i="5"/>
  <c r="AR517" i="5"/>
  <c r="AQ472" i="5"/>
  <c r="AR206" i="5"/>
  <c r="AQ244" i="5"/>
  <c r="AR531" i="5"/>
  <c r="AQ450" i="5"/>
  <c r="BI311" i="5"/>
  <c r="BK311" i="5" s="1"/>
  <c r="BM311" i="5" s="1"/>
  <c r="AQ517" i="5"/>
  <c r="AQ460" i="5"/>
  <c r="BI206" i="5"/>
  <c r="BJ206" i="5" s="1"/>
  <c r="AR244" i="5"/>
  <c r="AQ531" i="5"/>
  <c r="AQ69" i="5"/>
  <c r="AQ407" i="5"/>
  <c r="AR453" i="5"/>
  <c r="AQ21" i="5"/>
  <c r="AR450" i="5"/>
  <c r="AR460" i="5"/>
  <c r="AR88" i="5"/>
  <c r="AQ72" i="5"/>
  <c r="AR69" i="5"/>
  <c r="AQ545" i="5"/>
  <c r="AR407" i="5"/>
  <c r="AR73" i="5"/>
  <c r="BI453" i="5"/>
  <c r="BJ453" i="5" s="1"/>
  <c r="AR21" i="5"/>
  <c r="AR296" i="5"/>
  <c r="AQ519" i="5"/>
  <c r="AQ302" i="5"/>
  <c r="AQ88" i="5"/>
  <c r="AR259" i="5"/>
  <c r="AQ24" i="5"/>
  <c r="AR72" i="5"/>
  <c r="BI545" i="5"/>
  <c r="BK545" i="5" s="1"/>
  <c r="AR125" i="5"/>
  <c r="AQ125" i="5"/>
  <c r="AR182" i="5"/>
  <c r="AR173" i="5"/>
  <c r="BI182" i="5"/>
  <c r="BK182" i="5" s="1"/>
  <c r="AQ173" i="5"/>
  <c r="AQ314" i="5"/>
  <c r="AQ431" i="5"/>
  <c r="BI431" i="5"/>
  <c r="BK431" i="5" s="1"/>
  <c r="BI146" i="5"/>
  <c r="BJ146" i="5" s="1"/>
  <c r="BL146" i="5" s="1"/>
  <c r="AQ382" i="5"/>
  <c r="AQ451" i="5"/>
  <c r="AQ554" i="5"/>
  <c r="BI415" i="5"/>
  <c r="BK415" i="5" s="1"/>
  <c r="AQ277" i="5"/>
  <c r="BI187" i="5"/>
  <c r="BK187" i="5" s="1"/>
  <c r="AR300" i="5"/>
  <c r="AR314" i="5"/>
  <c r="AR533" i="5"/>
  <c r="AR117" i="5"/>
  <c r="AQ494" i="5"/>
  <c r="AR332" i="5"/>
  <c r="BI231" i="5"/>
  <c r="BJ231" i="5" s="1"/>
  <c r="AR305" i="5"/>
  <c r="AR411" i="5"/>
  <c r="BI117" i="5"/>
  <c r="BJ117" i="5" s="1"/>
  <c r="AR494" i="5"/>
  <c r="AR147" i="5"/>
  <c r="AQ298" i="5"/>
  <c r="AQ512" i="5"/>
  <c r="AQ332" i="5"/>
  <c r="AQ357" i="5"/>
  <c r="BI305" i="5"/>
  <c r="BJ305" i="5" s="1"/>
  <c r="AQ393" i="5"/>
  <c r="AQ147" i="5"/>
  <c r="AR298" i="5"/>
  <c r="AR512" i="5"/>
  <c r="AQ49" i="5"/>
  <c r="AR357" i="5"/>
  <c r="Y7" i="5"/>
  <c r="BI393" i="5"/>
  <c r="BJ393" i="5" s="1"/>
  <c r="AR49" i="5"/>
  <c r="AR553" i="5"/>
  <c r="AR507" i="5"/>
  <c r="AQ171" i="5"/>
  <c r="AQ249" i="5"/>
  <c r="AR189" i="5"/>
  <c r="AQ216" i="5"/>
  <c r="AR293" i="5"/>
  <c r="AQ482" i="5"/>
  <c r="AQ32" i="5"/>
  <c r="AQ544" i="5"/>
  <c r="AR251" i="5"/>
  <c r="AQ163" i="5"/>
  <c r="BI507" i="5"/>
  <c r="BK507" i="5" s="1"/>
  <c r="AR171" i="5"/>
  <c r="BI249" i="5"/>
  <c r="BJ249" i="5" s="1"/>
  <c r="BL249" i="5" s="1"/>
  <c r="AQ189" i="5"/>
  <c r="AR482" i="5"/>
  <c r="AR32" i="5"/>
  <c r="AR544" i="5"/>
  <c r="BI251" i="5"/>
  <c r="BK251" i="5" s="1"/>
  <c r="BM251" i="5" s="1"/>
  <c r="AR163" i="5"/>
  <c r="AQ132" i="5"/>
  <c r="AE24" i="4"/>
  <c r="AR146" i="5"/>
  <c r="AR382" i="5"/>
  <c r="AR554" i="5"/>
  <c r="AR101" i="5"/>
  <c r="AR415" i="5"/>
  <c r="BI257" i="5"/>
  <c r="BJ257" i="5" s="1"/>
  <c r="BI132" i="5"/>
  <c r="BK132" i="5" s="1"/>
  <c r="AR187" i="5"/>
  <c r="AR277" i="5"/>
  <c r="AQ497" i="5"/>
  <c r="AQ484" i="5"/>
  <c r="BI401" i="5"/>
  <c r="BJ401" i="5" s="1"/>
  <c r="AQ168" i="5"/>
  <c r="AR390" i="5"/>
  <c r="AQ537" i="5"/>
  <c r="AQ92" i="5"/>
  <c r="AQ43" i="5"/>
  <c r="BI194" i="5"/>
  <c r="BJ194" i="5" s="1"/>
  <c r="BI119" i="5"/>
  <c r="BJ119" i="5" s="1"/>
  <c r="AQ377" i="5"/>
  <c r="AQ194" i="5"/>
  <c r="AQ366" i="5"/>
  <c r="BI423" i="5"/>
  <c r="BK423" i="5" s="1"/>
  <c r="AR142" i="5"/>
  <c r="AR262" i="5"/>
  <c r="AQ210" i="5"/>
  <c r="AQ135" i="5"/>
  <c r="AQ291" i="5"/>
  <c r="AR325" i="5"/>
  <c r="BI198" i="5"/>
  <c r="BJ198" i="5" s="1"/>
  <c r="BI70" i="5"/>
  <c r="BJ70" i="5" s="1"/>
  <c r="AR401" i="5"/>
  <c r="AQ348" i="5"/>
  <c r="AR443" i="5"/>
  <c r="AQ130" i="5"/>
  <c r="AQ257" i="5"/>
  <c r="BI486" i="5"/>
  <c r="BJ486" i="5" s="1"/>
  <c r="BI216" i="5"/>
  <c r="BK216" i="5" s="1"/>
  <c r="AR295" i="5"/>
  <c r="AR323" i="5"/>
  <c r="BI433" i="5"/>
  <c r="BK433" i="5" s="1"/>
  <c r="BI369" i="5"/>
  <c r="BJ369" i="5" s="1"/>
  <c r="AR508" i="5"/>
  <c r="AR380" i="5"/>
  <c r="AQ392" i="5"/>
  <c r="AQ383" i="5"/>
  <c r="AR210" i="5"/>
  <c r="AR135" i="5"/>
  <c r="BI457" i="5"/>
  <c r="BJ457" i="5" s="1"/>
  <c r="BI484" i="5"/>
  <c r="BJ484" i="5" s="1"/>
  <c r="BL484" i="5" s="1"/>
  <c r="AR291" i="5"/>
  <c r="BI261" i="5"/>
  <c r="BJ261" i="5" s="1"/>
  <c r="BI168" i="5"/>
  <c r="BK168" i="5" s="1"/>
  <c r="AQ499" i="5"/>
  <c r="AQ396" i="5"/>
  <c r="AQ140" i="5"/>
  <c r="AR486" i="5"/>
  <c r="AQ397" i="5"/>
  <c r="BI489" i="5"/>
  <c r="BJ489" i="5" s="1"/>
  <c r="BI297" i="5"/>
  <c r="BJ297" i="5" s="1"/>
  <c r="AQ369" i="5"/>
  <c r="AQ508" i="5"/>
  <c r="AQ444" i="5"/>
  <c r="BI151" i="5"/>
  <c r="BK151" i="5" s="1"/>
  <c r="AR462" i="5"/>
  <c r="BI553" i="5"/>
  <c r="BJ553" i="5" s="1"/>
  <c r="BL553" i="5" s="1"/>
  <c r="AR549" i="5"/>
  <c r="AQ457" i="5"/>
  <c r="BI122" i="5"/>
  <c r="BJ122" i="5" s="1"/>
  <c r="BI464" i="5"/>
  <c r="BK464" i="5" s="1"/>
  <c r="AR198" i="5"/>
  <c r="AR348" i="5"/>
  <c r="AQ443" i="5"/>
  <c r="BI161" i="5"/>
  <c r="BK161" i="5" s="1"/>
  <c r="AQ534" i="5"/>
  <c r="BI462" i="5"/>
  <c r="BJ462" i="5" s="1"/>
  <c r="BL462" i="5" s="1"/>
  <c r="BI487" i="5"/>
  <c r="BK487" i="5" s="1"/>
  <c r="AQ215" i="5"/>
  <c r="AQ122" i="5"/>
  <c r="AQ325" i="5"/>
  <c r="AR464" i="5"/>
  <c r="AR70" i="5"/>
  <c r="AR371" i="5"/>
  <c r="AQ211" i="5"/>
  <c r="AR127" i="5"/>
  <c r="AL11" i="5"/>
  <c r="AQ295" i="5"/>
  <c r="BI94" i="5"/>
  <c r="BJ94" i="5" s="1"/>
  <c r="AR489" i="5"/>
  <c r="AR483" i="5"/>
  <c r="AQ176" i="5"/>
  <c r="AR534" i="5"/>
  <c r="AR98" i="5"/>
  <c r="AR215" i="5"/>
  <c r="AQ127" i="5"/>
  <c r="BI419" i="5"/>
  <c r="BK419" i="5" s="1"/>
  <c r="BI176" i="5"/>
  <c r="BK176" i="5" s="1"/>
  <c r="BI406" i="5"/>
  <c r="BJ406" i="5" s="1"/>
  <c r="AQ98" i="5"/>
  <c r="AR487" i="5"/>
  <c r="BI142" i="5"/>
  <c r="BJ142" i="5" s="1"/>
  <c r="AR521" i="5"/>
  <c r="AR343" i="5"/>
  <c r="AR550" i="5"/>
  <c r="AR422" i="5"/>
  <c r="AR269" i="5"/>
  <c r="BI521" i="5"/>
  <c r="BJ521" i="5" s="1"/>
  <c r="AQ255" i="5"/>
  <c r="AQ343" i="5"/>
  <c r="BI422" i="5"/>
  <c r="BJ422" i="5" s="1"/>
  <c r="BL422" i="5" s="1"/>
  <c r="AQ269" i="5"/>
  <c r="AQ153" i="5"/>
  <c r="AR349" i="5"/>
  <c r="AR119" i="5"/>
  <c r="AR366" i="5"/>
  <c r="AR490" i="5"/>
  <c r="AR255" i="5"/>
  <c r="BI550" i="5"/>
  <c r="BJ550" i="5" s="1"/>
  <c r="BI483" i="5"/>
  <c r="BJ483" i="5" s="1"/>
  <c r="AQ162" i="5"/>
  <c r="AQ264" i="5"/>
  <c r="AQ423" i="5"/>
  <c r="AQ95" i="5"/>
  <c r="BI44" i="5"/>
  <c r="BJ44" i="5" s="1"/>
  <c r="BI465" i="5"/>
  <c r="BK465" i="5" s="1"/>
  <c r="AQ161" i="5"/>
  <c r="AR162" i="5"/>
  <c r="BI264" i="5"/>
  <c r="BK264" i="5" s="1"/>
  <c r="AR138" i="5"/>
  <c r="AR271" i="5"/>
  <c r="AR310" i="5"/>
  <c r="BI245" i="5"/>
  <c r="BK245" i="5" s="1"/>
  <c r="AR19" i="5"/>
  <c r="BI432" i="5"/>
  <c r="BJ432" i="5" s="1"/>
  <c r="BI418" i="5"/>
  <c r="BJ418" i="5" s="1"/>
  <c r="BL418" i="5" s="1"/>
  <c r="AR540" i="5"/>
  <c r="BI426" i="5"/>
  <c r="BJ426" i="5" s="1"/>
  <c r="AR452" i="5"/>
  <c r="AQ359" i="5"/>
  <c r="AQ115" i="5"/>
  <c r="AR224" i="5"/>
  <c r="AQ183" i="5"/>
  <c r="AQ87" i="5"/>
  <c r="AQ138" i="5"/>
  <c r="BI523" i="5"/>
  <c r="BK523" i="5" s="1"/>
  <c r="AQ523" i="5"/>
  <c r="BI398" i="5"/>
  <c r="BJ398" i="5" s="1"/>
  <c r="AR345" i="5"/>
  <c r="AR197" i="5"/>
  <c r="AQ44" i="5"/>
  <c r="AQ398" i="5"/>
  <c r="BI153" i="5"/>
  <c r="BJ153" i="5" s="1"/>
  <c r="AR95" i="5"/>
  <c r="AE97" i="4"/>
  <c r="BI417" i="5"/>
  <c r="BK417" i="5" s="1"/>
  <c r="AQ179" i="5"/>
  <c r="BI405" i="5"/>
  <c r="BJ405" i="5" s="1"/>
  <c r="AQ371" i="5"/>
  <c r="AQ490" i="5"/>
  <c r="BI470" i="5"/>
  <c r="BJ470" i="5" s="1"/>
  <c r="BI160" i="5"/>
  <c r="BK160" i="5" s="1"/>
  <c r="AR470" i="5"/>
  <c r="AR160" i="5"/>
  <c r="AQ287" i="5"/>
  <c r="AE42" i="4"/>
  <c r="Z144" i="4"/>
  <c r="AA144" i="4" s="1"/>
  <c r="AE86" i="4"/>
  <c r="AE121" i="4"/>
  <c r="X45" i="4"/>
  <c r="AA45" i="4" s="1"/>
  <c r="AE137" i="4"/>
  <c r="X72" i="4"/>
  <c r="AK72" i="4" s="1"/>
  <c r="X73" i="4"/>
  <c r="AK73" i="4" s="1"/>
  <c r="AE49" i="4"/>
  <c r="Z52" i="4"/>
  <c r="X52" i="4" s="1"/>
  <c r="AK52" i="4" s="1"/>
  <c r="AA94" i="4"/>
  <c r="AF94" i="4" s="1"/>
  <c r="X59" i="4"/>
  <c r="AK59" i="4" s="1"/>
  <c r="Z84" i="4"/>
  <c r="Z102" i="4"/>
  <c r="X84" i="4"/>
  <c r="X24" i="4"/>
  <c r="AK24" i="4" s="1"/>
  <c r="Z26" i="4"/>
  <c r="X26" i="4" s="1"/>
  <c r="AK26" i="4" s="1"/>
  <c r="Z57" i="4"/>
  <c r="X57" i="4" s="1"/>
  <c r="AK57" i="4" s="1"/>
  <c r="X25" i="4"/>
  <c r="AK25" i="4" s="1"/>
  <c r="Z62" i="4"/>
  <c r="X62" i="4" s="1"/>
  <c r="X91" i="4"/>
  <c r="AK91" i="4" s="1"/>
  <c r="X131" i="4"/>
  <c r="AK131" i="4" s="1"/>
  <c r="X123" i="4"/>
  <c r="AK123" i="4" s="1"/>
  <c r="AA107" i="4"/>
  <c r="AC107" i="4" s="1"/>
  <c r="AD107" i="4" s="1"/>
  <c r="AA91" i="4"/>
  <c r="AF91" i="4" s="1"/>
  <c r="Z75" i="4"/>
  <c r="X29" i="4"/>
  <c r="AK29" i="4" s="1"/>
  <c r="Z117" i="4"/>
  <c r="AA117" i="4" s="1"/>
  <c r="Z105" i="4"/>
  <c r="X105" i="4" s="1"/>
  <c r="X115" i="4"/>
  <c r="AK115" i="4" s="1"/>
  <c r="X99" i="4"/>
  <c r="AK99" i="4" s="1"/>
  <c r="Z148" i="4"/>
  <c r="AA148" i="4" s="1"/>
  <c r="Z88" i="4"/>
  <c r="X88" i="4" s="1"/>
  <c r="Z133" i="4"/>
  <c r="AA133" i="4" s="1"/>
  <c r="Z109" i="4"/>
  <c r="AA109" i="4" s="1"/>
  <c r="Z50" i="4"/>
  <c r="X50" i="4" s="1"/>
  <c r="AK50" i="4" s="1"/>
  <c r="X60" i="4"/>
  <c r="AK60" i="4" s="1"/>
  <c r="X31" i="4"/>
  <c r="AK31" i="4" s="1"/>
  <c r="X94" i="4"/>
  <c r="AK94" i="4" s="1"/>
  <c r="AA72" i="4"/>
  <c r="AF72" i="4" s="1"/>
  <c r="Z42" i="4"/>
  <c r="X42" i="4" s="1"/>
  <c r="AK42" i="4" s="1"/>
  <c r="Z113" i="4"/>
  <c r="AA113" i="4" s="1"/>
  <c r="Z125" i="4"/>
  <c r="X125" i="4" s="1"/>
  <c r="X154" i="4"/>
  <c r="AK154" i="4" s="1"/>
  <c r="Z35" i="4"/>
  <c r="X35" i="4" s="1"/>
  <c r="AK35" i="4" s="1"/>
  <c r="X34" i="4"/>
  <c r="AA34" i="4" s="1"/>
  <c r="X102" i="4"/>
  <c r="X144" i="4"/>
  <c r="X80" i="4"/>
  <c r="AK80" i="4" s="1"/>
  <c r="X92" i="4"/>
  <c r="AK92" i="4" s="1"/>
  <c r="AA139" i="4"/>
  <c r="AF139" i="4" s="1"/>
  <c r="AA131" i="4"/>
  <c r="AC131" i="4" s="1"/>
  <c r="AD131" i="4" s="1"/>
  <c r="Z67" i="4"/>
  <c r="X67" i="4" s="1"/>
  <c r="Z81" i="4"/>
  <c r="Z49" i="4"/>
  <c r="AA154" i="4"/>
  <c r="AC154" i="4" s="1"/>
  <c r="AD154" i="4" s="1"/>
  <c r="Z124" i="4"/>
  <c r="AA124" i="4" s="1"/>
  <c r="X139" i="4"/>
  <c r="AK139" i="4" s="1"/>
  <c r="X107" i="4"/>
  <c r="AK107" i="4" s="1"/>
  <c r="X75" i="4"/>
  <c r="X148" i="4"/>
  <c r="AE83" i="4"/>
  <c r="Z153" i="4"/>
  <c r="AA153" i="4" s="1"/>
  <c r="AA14" i="4"/>
  <c r="AC14" i="4" s="1"/>
  <c r="AD14" i="4" s="1"/>
  <c r="X33" i="4"/>
  <c r="AK33" i="4" s="1"/>
  <c r="Z48" i="4"/>
  <c r="X83" i="4"/>
  <c r="AK83" i="4" s="1"/>
  <c r="AE89" i="4"/>
  <c r="X65" i="4"/>
  <c r="AK65" i="4" s="1"/>
  <c r="Y140" i="4"/>
  <c r="AE140" i="4"/>
  <c r="Y151" i="4"/>
  <c r="AE151" i="4"/>
  <c r="Y120" i="4"/>
  <c r="AE120" i="4"/>
  <c r="Y138" i="4"/>
  <c r="AE138" i="4"/>
  <c r="Y10" i="4"/>
  <c r="Z10" i="4" s="1"/>
  <c r="AE10" i="4"/>
  <c r="Y128" i="4"/>
  <c r="AE128" i="4"/>
  <c r="Y32" i="4"/>
  <c r="AE32" i="4"/>
  <c r="Y44" i="4"/>
  <c r="AE44" i="4"/>
  <c r="Y23" i="4"/>
  <c r="AE23" i="4"/>
  <c r="Y111" i="4"/>
  <c r="AE111" i="4"/>
  <c r="Y103" i="4"/>
  <c r="AE103" i="4"/>
  <c r="Y79" i="4"/>
  <c r="AE79" i="4"/>
  <c r="Y70" i="4"/>
  <c r="AE70" i="4"/>
  <c r="Y19" i="4"/>
  <c r="Z19" i="4" s="1"/>
  <c r="AE19" i="4"/>
  <c r="Y69" i="4"/>
  <c r="AE69" i="4"/>
  <c r="Y18" i="4"/>
  <c r="Z18" i="4" s="1"/>
  <c r="AE18" i="4"/>
  <c r="X8" i="4"/>
  <c r="AA8" i="4" s="1"/>
  <c r="X13" i="4"/>
  <c r="AK13" i="4" s="1"/>
  <c r="X15" i="4"/>
  <c r="AK15" i="4" s="1"/>
  <c r="X11" i="4"/>
  <c r="AA11" i="4" s="1"/>
  <c r="Y143" i="4"/>
  <c r="AE143" i="4"/>
  <c r="Y64" i="4"/>
  <c r="AE64" i="4"/>
  <c r="Y12" i="4"/>
  <c r="Z12" i="4" s="1"/>
  <c r="AE12" i="4"/>
  <c r="Y130" i="4"/>
  <c r="AE130" i="4"/>
  <c r="Y98" i="4"/>
  <c r="AE98" i="4"/>
  <c r="Y21" i="4"/>
  <c r="Z21" i="4" s="1"/>
  <c r="AE21" i="4"/>
  <c r="Y108" i="4"/>
  <c r="AE108" i="4"/>
  <c r="Y142" i="4"/>
  <c r="AE142" i="4"/>
  <c r="Y9" i="4"/>
  <c r="Z9" i="4" s="1"/>
  <c r="AE9" i="4"/>
  <c r="Y63" i="4"/>
  <c r="AE63" i="4"/>
  <c r="Y47" i="4"/>
  <c r="AE47" i="4"/>
  <c r="Y22" i="4"/>
  <c r="Z22" i="4" s="1"/>
  <c r="AE22" i="4"/>
  <c r="Y152" i="4"/>
  <c r="AE152" i="4"/>
  <c r="Y56" i="4"/>
  <c r="AE56" i="4"/>
  <c r="Y90" i="4"/>
  <c r="AE90" i="4"/>
  <c r="AK14" i="4"/>
  <c r="Y134" i="4"/>
  <c r="AE134" i="4"/>
  <c r="Y101" i="4"/>
  <c r="AE101" i="4"/>
  <c r="Y85" i="4"/>
  <c r="AE85" i="4"/>
  <c r="Y61" i="4"/>
  <c r="AE61" i="4"/>
  <c r="Y135" i="4"/>
  <c r="AE135" i="4"/>
  <c r="Y119" i="4"/>
  <c r="AE119" i="4"/>
  <c r="Y126" i="4"/>
  <c r="AE126" i="4"/>
  <c r="Y39" i="4"/>
  <c r="AE39" i="4"/>
  <c r="Y76" i="4"/>
  <c r="AE76" i="4"/>
  <c r="Y20" i="4"/>
  <c r="Z20" i="4" s="1"/>
  <c r="AE20" i="4"/>
  <c r="Y110" i="4"/>
  <c r="AE110" i="4"/>
  <c r="Y71" i="4"/>
  <c r="AE71" i="4"/>
  <c r="Y55" i="4"/>
  <c r="AE55" i="4"/>
  <c r="Y68" i="4"/>
  <c r="AE68" i="4"/>
  <c r="Y16" i="4"/>
  <c r="Z16" i="4" s="1"/>
  <c r="AE16" i="4"/>
  <c r="Y157" i="4"/>
  <c r="AE157" i="4"/>
  <c r="Y141" i="4"/>
  <c r="AE141" i="4"/>
  <c r="Y53" i="4"/>
  <c r="AE53" i="4"/>
  <c r="X17" i="4"/>
  <c r="AK17" i="4" s="1"/>
  <c r="Y96" i="4"/>
  <c r="AE96" i="4"/>
  <c r="Y66" i="4"/>
  <c r="AE66" i="4"/>
  <c r="Y78" i="4"/>
  <c r="AE78" i="4"/>
  <c r="Y46" i="4"/>
  <c r="AE46" i="4"/>
  <c r="Y127" i="4"/>
  <c r="AE127" i="4"/>
  <c r="Y95" i="4"/>
  <c r="AE95" i="4"/>
  <c r="Y87" i="4"/>
  <c r="AE87" i="4"/>
  <c r="Y38" i="4"/>
  <c r="AE38" i="4"/>
  <c r="Y58" i="4"/>
  <c r="AE58" i="4"/>
  <c r="Y132" i="4"/>
  <c r="AE132" i="4"/>
  <c r="Y100" i="4"/>
  <c r="AE100" i="4"/>
  <c r="Y40" i="4"/>
  <c r="AE40" i="4"/>
  <c r="Y149" i="4"/>
  <c r="AE149" i="4"/>
  <c r="Y93" i="4"/>
  <c r="AE93" i="4"/>
  <c r="Y77" i="4"/>
  <c r="AE77" i="4"/>
  <c r="Z147" i="4"/>
  <c r="AA147" i="4" s="1"/>
  <c r="AC91" i="4"/>
  <c r="AD91" i="4" s="1"/>
  <c r="Z51" i="4"/>
  <c r="X51" i="4" s="1"/>
  <c r="Z43" i="4"/>
  <c r="Z136" i="4"/>
  <c r="AA136" i="4" s="1"/>
  <c r="Z116" i="4"/>
  <c r="AA116" i="4" s="1"/>
  <c r="Z118" i="4"/>
  <c r="AA118" i="4" s="1"/>
  <c r="AE33" i="4"/>
  <c r="AE139" i="4"/>
  <c r="AE94" i="4"/>
  <c r="X104" i="4"/>
  <c r="AK104" i="4" s="1"/>
  <c r="Z54" i="4"/>
  <c r="X54" i="4" s="1"/>
  <c r="Z145" i="4"/>
  <c r="AA145" i="4" s="1"/>
  <c r="Z137" i="4"/>
  <c r="AA137" i="4" s="1"/>
  <c r="Z129" i="4"/>
  <c r="AA129" i="4" s="1"/>
  <c r="Z121" i="4"/>
  <c r="AA121" i="4" s="1"/>
  <c r="X49" i="4"/>
  <c r="Z41" i="4"/>
  <c r="X41" i="4" s="1"/>
  <c r="X122" i="4"/>
  <c r="AK122" i="4" s="1"/>
  <c r="AE29" i="4"/>
  <c r="AE117" i="4"/>
  <c r="AE81" i="4"/>
  <c r="AE82" i="4"/>
  <c r="AE105" i="4"/>
  <c r="AE147" i="4"/>
  <c r="AE43" i="4"/>
  <c r="AE75" i="4"/>
  <c r="AE48" i="4"/>
  <c r="AE145" i="4"/>
  <c r="AE123" i="4"/>
  <c r="AE35" i="4"/>
  <c r="AE17" i="4"/>
  <c r="AE154" i="4"/>
  <c r="AE80" i="4"/>
  <c r="AE92" i="4"/>
  <c r="Z97" i="4"/>
  <c r="AA97" i="4" s="1"/>
  <c r="Z89" i="4"/>
  <c r="AE107" i="4"/>
  <c r="AE109" i="4"/>
  <c r="AE156" i="4"/>
  <c r="AE104" i="4"/>
  <c r="AE11" i="4"/>
  <c r="AE54" i="4"/>
  <c r="AE67" i="4"/>
  <c r="AE28" i="4"/>
  <c r="AE88" i="4"/>
  <c r="AE146" i="4"/>
  <c r="AE131" i="4"/>
  <c r="AE84" i="4"/>
  <c r="AE57" i="4"/>
  <c r="AE25" i="4"/>
  <c r="AE150" i="4"/>
  <c r="AE50" i="4"/>
  <c r="AA80" i="4"/>
  <c r="X146" i="4"/>
  <c r="AK146" i="4" s="1"/>
  <c r="X114" i="4"/>
  <c r="AK114" i="4" s="1"/>
  <c r="X82" i="4"/>
  <c r="AK82" i="4" s="1"/>
  <c r="X28" i="4"/>
  <c r="AK28" i="4" s="1"/>
  <c r="X37" i="4"/>
  <c r="AK37" i="4" s="1"/>
  <c r="X155" i="4"/>
  <c r="AK155" i="4" s="1"/>
  <c r="X136" i="4"/>
  <c r="X116" i="4"/>
  <c r="AE155" i="4"/>
  <c r="AE136" i="4"/>
  <c r="Z74" i="4"/>
  <c r="X27" i="4"/>
  <c r="AK27" i="4" s="1"/>
  <c r="X153" i="4"/>
  <c r="X145" i="4"/>
  <c r="X137" i="4"/>
  <c r="X129" i="4"/>
  <c r="X121" i="4"/>
  <c r="X113" i="4"/>
  <c r="X97" i="4"/>
  <c r="AE8" i="4"/>
  <c r="AE62" i="4"/>
  <c r="AE15" i="4"/>
  <c r="AE52" i="4"/>
  <c r="AE26" i="4"/>
  <c r="AE115" i="4"/>
  <c r="AE106" i="4"/>
  <c r="AE31" i="4"/>
  <c r="AE27" i="4"/>
  <c r="AE112" i="4"/>
  <c r="AE99" i="4"/>
  <c r="AE113" i="4"/>
  <c r="AE91" i="4"/>
  <c r="AE65" i="4"/>
  <c r="AE51" i="4"/>
  <c r="X133" i="4"/>
  <c r="X117" i="4"/>
  <c r="X109" i="4"/>
  <c r="Z112" i="4"/>
  <c r="X156" i="4"/>
  <c r="AK156" i="4" s="1"/>
  <c r="X124" i="4"/>
  <c r="X147" i="4"/>
  <c r="AA115" i="4"/>
  <c r="X30" i="4"/>
  <c r="AK30" i="4" s="1"/>
  <c r="X118" i="4"/>
  <c r="AE59" i="4"/>
  <c r="AE129" i="4"/>
  <c r="AE133" i="4"/>
  <c r="AE60" i="4"/>
  <c r="X36" i="4"/>
  <c r="AK36" i="4" s="1"/>
  <c r="X106" i="4"/>
  <c r="AK106" i="4" s="1"/>
  <c r="X150" i="4"/>
  <c r="AK150" i="4" s="1"/>
  <c r="X86" i="4"/>
  <c r="AK86" i="4" s="1"/>
  <c r="AA122" i="4"/>
  <c r="AE116" i="4"/>
  <c r="AE45" i="4"/>
  <c r="AE118" i="4"/>
  <c r="AE124" i="4"/>
  <c r="AE36" i="4"/>
  <c r="AE125" i="4"/>
  <c r="AE74" i="4"/>
  <c r="AE37" i="4"/>
  <c r="AE73" i="4"/>
  <c r="AE72" i="4"/>
  <c r="AE30" i="4"/>
  <c r="AE153" i="4"/>
  <c r="AE102" i="4"/>
  <c r="AE148" i="4"/>
  <c r="AE13" i="4"/>
  <c r="AE114" i="4"/>
  <c r="AE41" i="4"/>
  <c r="AE122" i="4"/>
  <c r="AE34" i="4"/>
  <c r="AE14" i="4"/>
  <c r="AE144" i="4"/>
  <c r="AO11" i="5"/>
  <c r="BC11" i="5"/>
  <c r="BD11" i="5" s="1"/>
  <c r="AU11" i="5"/>
  <c r="AV11" i="5"/>
  <c r="BE10" i="5"/>
  <c r="AC7" i="5"/>
  <c r="S7" i="5"/>
  <c r="R7" i="5"/>
  <c r="B202" i="2"/>
  <c r="B189" i="2"/>
  <c r="AR417" i="5"/>
  <c r="BI236" i="5"/>
  <c r="BJ236" i="5" s="1"/>
  <c r="AR236" i="5"/>
  <c r="AR287" i="5"/>
  <c r="AR327" i="5"/>
  <c r="AR38" i="5"/>
  <c r="BI271" i="5"/>
  <c r="BK271" i="5" s="1"/>
  <c r="BI540" i="5"/>
  <c r="BK540" i="5" s="1"/>
  <c r="AP11" i="5"/>
  <c r="AR11" i="5" s="1"/>
  <c r="AR438" i="5"/>
  <c r="BI310" i="5"/>
  <c r="BJ310" i="5" s="1"/>
  <c r="AR183" i="5"/>
  <c r="BI211" i="5"/>
  <c r="BK211" i="5" s="1"/>
  <c r="AR245" i="5"/>
  <c r="BI452" i="5"/>
  <c r="BJ452" i="5" s="1"/>
  <c r="AR102" i="5"/>
  <c r="AR359" i="5"/>
  <c r="AR87" i="5"/>
  <c r="BI345" i="5"/>
  <c r="BJ345" i="5" s="1"/>
  <c r="AR179" i="5"/>
  <c r="BI115" i="5"/>
  <c r="BJ115" i="5" s="1"/>
  <c r="AQ405" i="5"/>
  <c r="AQ197" i="5"/>
  <c r="AQ224" i="5"/>
  <c r="AR34" i="5"/>
  <c r="AQ353" i="5"/>
  <c r="AR123" i="5"/>
  <c r="BI38" i="5"/>
  <c r="BJ38" i="5" s="1"/>
  <c r="AQ438" i="5"/>
  <c r="AR426" i="5"/>
  <c r="AQ19" i="5"/>
  <c r="AQ94" i="5"/>
  <c r="AR419" i="5"/>
  <c r="AR432" i="5"/>
  <c r="AQ102" i="5"/>
  <c r="AR406" i="5"/>
  <c r="AQ418" i="5"/>
  <c r="BI34" i="5"/>
  <c r="BJ34" i="5" s="1"/>
  <c r="AR353" i="5"/>
  <c r="BI123" i="5"/>
  <c r="BJ123" i="5" s="1"/>
  <c r="AR86" i="5"/>
  <c r="AQ390" i="5"/>
  <c r="AQ465" i="5"/>
  <c r="AQ511" i="5"/>
  <c r="BI86" i="5"/>
  <c r="BJ86" i="5" s="1"/>
  <c r="AR511" i="5"/>
  <c r="AP9" i="5"/>
  <c r="AQ9" i="5" s="1"/>
  <c r="B104" i="2"/>
  <c r="H23" i="1"/>
  <c r="AL9" i="5"/>
  <c r="AR10" i="5"/>
  <c r="BI10" i="5"/>
  <c r="AI9" i="5"/>
  <c r="AH9" i="5"/>
  <c r="BJ355" i="5"/>
  <c r="BK355" i="5"/>
  <c r="BK347" i="5"/>
  <c r="BJ347" i="5"/>
  <c r="BJ454" i="5"/>
  <c r="BK454" i="5"/>
  <c r="BM454" i="5" s="1"/>
  <c r="BJ466" i="5"/>
  <c r="BK466" i="5"/>
  <c r="BJ493" i="5"/>
  <c r="BL493" i="5" s="1"/>
  <c r="BK493" i="5"/>
  <c r="BJ221" i="5"/>
  <c r="BK221" i="5"/>
  <c r="BJ504" i="5"/>
  <c r="BL504" i="5" s="1"/>
  <c r="BK504" i="5"/>
  <c r="BJ248" i="5"/>
  <c r="BK248" i="5"/>
  <c r="BK535" i="5"/>
  <c r="BJ535" i="5"/>
  <c r="BJ71" i="5"/>
  <c r="BK71" i="5"/>
  <c r="BM71" i="5" s="1"/>
  <c r="BK382" i="5"/>
  <c r="BJ382" i="5"/>
  <c r="BJ318" i="5"/>
  <c r="BK318" i="5"/>
  <c r="BJ62" i="5"/>
  <c r="BL62" i="5" s="1"/>
  <c r="BK62" i="5"/>
  <c r="BJ329" i="5"/>
  <c r="BK329" i="5"/>
  <c r="BJ137" i="5"/>
  <c r="BK137" i="5"/>
  <c r="BM137" i="5" s="1"/>
  <c r="BK100" i="5"/>
  <c r="BJ100" i="5"/>
  <c r="BK387" i="5"/>
  <c r="BJ387" i="5"/>
  <c r="BJ99" i="5"/>
  <c r="BK99" i="5"/>
  <c r="BK186" i="5"/>
  <c r="BJ186" i="5"/>
  <c r="BJ400" i="5"/>
  <c r="BK400" i="5"/>
  <c r="BK495" i="5"/>
  <c r="BM495" i="5" s="1"/>
  <c r="BJ495" i="5"/>
  <c r="BJ143" i="5"/>
  <c r="BK143" i="5"/>
  <c r="BJ134" i="5"/>
  <c r="BK134" i="5"/>
  <c r="BM134" i="5" s="1"/>
  <c r="BJ129" i="5"/>
  <c r="BK129" i="5"/>
  <c r="BJ412" i="5"/>
  <c r="BL412" i="5" s="1"/>
  <c r="BK412" i="5"/>
  <c r="BK220" i="5"/>
  <c r="BJ220" i="5"/>
  <c r="BK156" i="5"/>
  <c r="BJ156" i="5"/>
  <c r="BK443" i="5"/>
  <c r="BJ443" i="5"/>
  <c r="BJ171" i="5"/>
  <c r="BK171" i="5"/>
  <c r="BM171" i="5" s="1"/>
  <c r="BJ438" i="5"/>
  <c r="BK438" i="5"/>
  <c r="BK514" i="5"/>
  <c r="BJ450" i="5"/>
  <c r="BK450" i="5"/>
  <c r="BM450" i="5" s="1"/>
  <c r="BJ477" i="5"/>
  <c r="BK477" i="5"/>
  <c r="BJ205" i="5"/>
  <c r="BK205" i="5"/>
  <c r="BJ488" i="5"/>
  <c r="BK488" i="5"/>
  <c r="BJ232" i="5"/>
  <c r="BK232" i="5"/>
  <c r="BK42" i="5"/>
  <c r="BJ42" i="5"/>
  <c r="BJ247" i="5"/>
  <c r="BK247" i="5"/>
  <c r="BJ46" i="5"/>
  <c r="BL46" i="5" s="1"/>
  <c r="BK46" i="5"/>
  <c r="BJ313" i="5"/>
  <c r="BK313" i="5"/>
  <c r="BK57" i="5"/>
  <c r="BJ57" i="5"/>
  <c r="BK84" i="5"/>
  <c r="BJ84" i="5"/>
  <c r="BJ371" i="5"/>
  <c r="BK371" i="5"/>
  <c r="BK362" i="5"/>
  <c r="BJ362" i="5"/>
  <c r="BK170" i="5"/>
  <c r="BJ170" i="5"/>
  <c r="BJ106" i="5"/>
  <c r="BK106" i="5"/>
  <c r="BJ373" i="5"/>
  <c r="BK373" i="5"/>
  <c r="BM373" i="5" s="1"/>
  <c r="BK128" i="5"/>
  <c r="BJ128" i="5"/>
  <c r="BL128" i="5" s="1"/>
  <c r="BK479" i="5"/>
  <c r="BJ479" i="5"/>
  <c r="BJ127" i="5"/>
  <c r="BK127" i="5"/>
  <c r="BJ118" i="5"/>
  <c r="BL118" i="5" s="1"/>
  <c r="BK118" i="5"/>
  <c r="BJ449" i="5"/>
  <c r="BK449" i="5"/>
  <c r="BJ385" i="5"/>
  <c r="BK385" i="5"/>
  <c r="BJ396" i="5"/>
  <c r="BK396" i="5"/>
  <c r="BK140" i="5"/>
  <c r="BJ140" i="5"/>
  <c r="BK491" i="5"/>
  <c r="BJ491" i="5"/>
  <c r="BK427" i="5"/>
  <c r="BJ427" i="5"/>
  <c r="BJ546" i="5"/>
  <c r="BK546" i="5"/>
  <c r="BJ229" i="5"/>
  <c r="BK229" i="5"/>
  <c r="BJ294" i="5"/>
  <c r="BK294" i="5"/>
  <c r="BJ306" i="5"/>
  <c r="BK306" i="5"/>
  <c r="BJ333" i="5"/>
  <c r="BK333" i="5"/>
  <c r="BJ61" i="5"/>
  <c r="BK61" i="5"/>
  <c r="BM61" i="5" s="1"/>
  <c r="BK152" i="5"/>
  <c r="BM152" i="5" s="1"/>
  <c r="BJ152" i="5"/>
  <c r="BK88" i="5"/>
  <c r="BM88" i="5" s="1"/>
  <c r="BJ88" i="5"/>
  <c r="BJ103" i="5"/>
  <c r="BK103" i="5"/>
  <c r="BJ414" i="5"/>
  <c r="BK414" i="5"/>
  <c r="BJ158" i="5"/>
  <c r="BK158" i="5"/>
  <c r="BJ516" i="5"/>
  <c r="BK516" i="5"/>
  <c r="BJ196" i="5"/>
  <c r="BK196" i="5"/>
  <c r="BK259" i="5"/>
  <c r="BJ259" i="5"/>
  <c r="BJ195" i="5"/>
  <c r="BK195" i="5"/>
  <c r="BJ538" i="5"/>
  <c r="BK538" i="5"/>
  <c r="BJ474" i="5"/>
  <c r="BK474" i="5"/>
  <c r="BK218" i="5"/>
  <c r="BJ218" i="5"/>
  <c r="BL218" i="5" s="1"/>
  <c r="BJ485" i="5"/>
  <c r="BK485" i="5"/>
  <c r="BJ293" i="5"/>
  <c r="BK293" i="5"/>
  <c r="BJ213" i="5"/>
  <c r="BK213" i="5"/>
  <c r="BJ496" i="5"/>
  <c r="BK496" i="5"/>
  <c r="BJ240" i="5"/>
  <c r="BK240" i="5"/>
  <c r="BK48" i="5"/>
  <c r="BJ48" i="5"/>
  <c r="BK527" i="5"/>
  <c r="BJ527" i="5"/>
  <c r="BJ230" i="5"/>
  <c r="BK230" i="5"/>
  <c r="BJ497" i="5"/>
  <c r="BK497" i="5"/>
  <c r="BJ225" i="5"/>
  <c r="BK225" i="5"/>
  <c r="BJ252" i="5"/>
  <c r="BK252" i="5"/>
  <c r="BK539" i="5"/>
  <c r="BJ539" i="5"/>
  <c r="BJ162" i="5"/>
  <c r="BK162" i="5"/>
  <c r="BJ509" i="5"/>
  <c r="BK509" i="5"/>
  <c r="BJ173" i="5"/>
  <c r="BK173" i="5"/>
  <c r="BJ456" i="5"/>
  <c r="BK456" i="5"/>
  <c r="BK200" i="5"/>
  <c r="BJ200" i="5"/>
  <c r="BJ279" i="5"/>
  <c r="BK279" i="5"/>
  <c r="BM279" i="5" s="1"/>
  <c r="BJ215" i="5"/>
  <c r="BK215" i="5"/>
  <c r="BM215" i="5" s="1"/>
  <c r="BJ270" i="5"/>
  <c r="BK270" i="5"/>
  <c r="BJ12" i="5"/>
  <c r="BK12" i="5"/>
  <c r="BJ74" i="5"/>
  <c r="BK74" i="5"/>
  <c r="BJ341" i="5"/>
  <c r="BK341" i="5"/>
  <c r="BM341" i="5" s="1"/>
  <c r="BJ69" i="5"/>
  <c r="BL69" i="5" s="1"/>
  <c r="BK69" i="5"/>
  <c r="BK96" i="5"/>
  <c r="BM96" i="5" s="1"/>
  <c r="BJ96" i="5"/>
  <c r="BJ383" i="5"/>
  <c r="BK383" i="5"/>
  <c r="BK159" i="5"/>
  <c r="BJ159" i="5"/>
  <c r="BJ95" i="5"/>
  <c r="BK95" i="5"/>
  <c r="BJ150" i="5"/>
  <c r="BK150" i="5"/>
  <c r="BJ353" i="5"/>
  <c r="BK353" i="5"/>
  <c r="BJ81" i="5"/>
  <c r="BL81" i="5" s="1"/>
  <c r="BK81" i="5"/>
  <c r="BJ364" i="5"/>
  <c r="BK364" i="5"/>
  <c r="BK108" i="5"/>
  <c r="BM108" i="5" s="1"/>
  <c r="BJ108" i="5"/>
  <c r="BK395" i="5"/>
  <c r="BJ395" i="5"/>
  <c r="BL395" i="5" s="1"/>
  <c r="BJ518" i="5"/>
  <c r="BK518" i="5"/>
  <c r="BJ274" i="5"/>
  <c r="BK274" i="5"/>
  <c r="BJ557" i="5"/>
  <c r="BK557" i="5"/>
  <c r="BJ93" i="5"/>
  <c r="BK93" i="5"/>
  <c r="BK27" i="5"/>
  <c r="BJ27" i="5"/>
  <c r="BJ312" i="5"/>
  <c r="BK312" i="5"/>
  <c r="BJ56" i="5"/>
  <c r="BK56" i="5"/>
  <c r="BJ135" i="5"/>
  <c r="BK135" i="5"/>
  <c r="BK190" i="5"/>
  <c r="BJ190" i="5"/>
  <c r="BJ126" i="5"/>
  <c r="BK126" i="5"/>
  <c r="BJ420" i="5"/>
  <c r="BK420" i="5"/>
  <c r="BK164" i="5"/>
  <c r="BJ164" i="5"/>
  <c r="BK451" i="5"/>
  <c r="BJ451" i="5"/>
  <c r="BL451" i="5" s="1"/>
  <c r="BJ163" i="5"/>
  <c r="BK163" i="5"/>
  <c r="BJ442" i="5"/>
  <c r="BK442" i="5"/>
  <c r="BM442" i="5" s="1"/>
  <c r="BK181" i="5"/>
  <c r="BJ181" i="5"/>
  <c r="BK208" i="5"/>
  <c r="BJ208" i="5"/>
  <c r="BJ207" i="5"/>
  <c r="BK207" i="5"/>
  <c r="BM207" i="5" s="1"/>
  <c r="BJ193" i="5"/>
  <c r="BK193" i="5"/>
  <c r="BJ476" i="5"/>
  <c r="BK476" i="5"/>
  <c r="BK30" i="5"/>
  <c r="BJ30" i="5"/>
  <c r="BJ235" i="5"/>
  <c r="BK235" i="5"/>
  <c r="BJ502" i="5"/>
  <c r="BK502" i="5"/>
  <c r="BJ322" i="5"/>
  <c r="BK322" i="5"/>
  <c r="BJ258" i="5"/>
  <c r="BK258" i="5"/>
  <c r="BJ541" i="5"/>
  <c r="BL541" i="5" s="1"/>
  <c r="BK541" i="5"/>
  <c r="BJ285" i="5"/>
  <c r="BK285" i="5"/>
  <c r="BJ552" i="5"/>
  <c r="BK552" i="5"/>
  <c r="BJ55" i="5"/>
  <c r="BK55" i="5"/>
  <c r="BK366" i="5"/>
  <c r="BJ366" i="5"/>
  <c r="BJ174" i="5"/>
  <c r="BK174" i="5"/>
  <c r="BJ110" i="5"/>
  <c r="BK110" i="5"/>
  <c r="BM110" i="5" s="1"/>
  <c r="BJ441" i="5"/>
  <c r="BK441" i="5"/>
  <c r="BJ404" i="5"/>
  <c r="BK404" i="5"/>
  <c r="BK148" i="5"/>
  <c r="BJ148" i="5"/>
  <c r="BK435" i="5"/>
  <c r="BJ435" i="5"/>
  <c r="BJ147" i="5"/>
  <c r="BK147" i="5"/>
  <c r="BM147" i="5" s="1"/>
  <c r="BK165" i="5"/>
  <c r="BJ165" i="5"/>
  <c r="BJ448" i="5"/>
  <c r="BK448" i="5"/>
  <c r="BK192" i="5"/>
  <c r="BJ192" i="5"/>
  <c r="BJ255" i="5"/>
  <c r="BK255" i="5"/>
  <c r="BK191" i="5"/>
  <c r="BJ191" i="5"/>
  <c r="BK513" i="5"/>
  <c r="BJ177" i="5"/>
  <c r="BK177" i="5"/>
  <c r="BJ524" i="5"/>
  <c r="BK524" i="5"/>
  <c r="BJ460" i="5"/>
  <c r="BK460" i="5"/>
  <c r="BK204" i="5"/>
  <c r="BJ204" i="5"/>
  <c r="BK283" i="5"/>
  <c r="BJ283" i="5"/>
  <c r="BJ219" i="5"/>
  <c r="BK219" i="5"/>
  <c r="BK358" i="5"/>
  <c r="BJ358" i="5"/>
  <c r="BJ114" i="5"/>
  <c r="BK114" i="5"/>
  <c r="BJ461" i="5"/>
  <c r="BK461" i="5"/>
  <c r="BJ397" i="5"/>
  <c r="BK397" i="5"/>
  <c r="BJ125" i="5"/>
  <c r="BK125" i="5"/>
  <c r="BJ408" i="5"/>
  <c r="BK408" i="5"/>
  <c r="BK439" i="5"/>
  <c r="BJ439" i="5"/>
  <c r="BJ167" i="5"/>
  <c r="BK167" i="5"/>
  <c r="BJ542" i="5"/>
  <c r="BK542" i="5"/>
  <c r="BJ478" i="5"/>
  <c r="BK478" i="5"/>
  <c r="BJ222" i="5"/>
  <c r="BK222" i="5"/>
  <c r="BJ233" i="5"/>
  <c r="BK233" i="5"/>
  <c r="BK324" i="5"/>
  <c r="BJ324" i="5"/>
  <c r="BK260" i="5"/>
  <c r="BM260" i="5" s="1"/>
  <c r="BJ260" i="5"/>
  <c r="BK547" i="5"/>
  <c r="BJ547" i="5"/>
  <c r="BK323" i="5"/>
  <c r="BJ323" i="5"/>
  <c r="BJ282" i="5"/>
  <c r="BK282" i="5"/>
  <c r="BJ85" i="5"/>
  <c r="BK85" i="5"/>
  <c r="BJ560" i="5"/>
  <c r="BK560" i="5"/>
  <c r="BJ304" i="5"/>
  <c r="BK304" i="5"/>
  <c r="BK303" i="5"/>
  <c r="BJ303" i="5"/>
  <c r="BJ47" i="5"/>
  <c r="BK47" i="5"/>
  <c r="BJ20" i="5"/>
  <c r="BK20" i="5"/>
  <c r="BJ97" i="5"/>
  <c r="BK97" i="5"/>
  <c r="BJ31" i="5"/>
  <c r="BK31" i="5"/>
  <c r="BK380" i="5"/>
  <c r="BJ380" i="5"/>
  <c r="BJ316" i="5"/>
  <c r="BK316" i="5"/>
  <c r="BK60" i="5"/>
  <c r="BJ60" i="5"/>
  <c r="BK331" i="5"/>
  <c r="BJ331" i="5"/>
  <c r="BJ482" i="5"/>
  <c r="BK482" i="5"/>
  <c r="BJ226" i="5"/>
  <c r="BK226" i="5"/>
  <c r="BJ253" i="5"/>
  <c r="BL253" i="5" s="1"/>
  <c r="BK253" i="5"/>
  <c r="BJ45" i="5"/>
  <c r="BK45" i="5"/>
  <c r="BJ520" i="5"/>
  <c r="BL520" i="5" s="1"/>
  <c r="BK520" i="5"/>
  <c r="BK551" i="5"/>
  <c r="BJ551" i="5"/>
  <c r="BK8" i="5"/>
  <c r="BJ8" i="5"/>
  <c r="BL8" i="5" s="1"/>
  <c r="BJ334" i="5"/>
  <c r="BK334" i="5"/>
  <c r="BJ78" i="5"/>
  <c r="BK78" i="5"/>
  <c r="BK409" i="5"/>
  <c r="BJ89" i="5"/>
  <c r="BK89" i="5"/>
  <c r="BJ372" i="5"/>
  <c r="BL372" i="5" s="1"/>
  <c r="BK372" i="5"/>
  <c r="BK116" i="5"/>
  <c r="BJ116" i="5"/>
  <c r="BK467" i="5"/>
  <c r="BM467" i="5" s="1"/>
  <c r="BJ467" i="5"/>
  <c r="BK403" i="5"/>
  <c r="BJ403" i="5"/>
  <c r="BJ394" i="5"/>
  <c r="BK394" i="5"/>
  <c r="BK138" i="5"/>
  <c r="BJ138" i="5"/>
  <c r="BJ133" i="5"/>
  <c r="BK133" i="5"/>
  <c r="BJ416" i="5"/>
  <c r="BK416" i="5"/>
  <c r="BK447" i="5"/>
  <c r="BJ447" i="5"/>
  <c r="BL447" i="5" s="1"/>
  <c r="BJ145" i="5"/>
  <c r="BL145" i="5" s="1"/>
  <c r="BK145" i="5"/>
  <c r="BJ428" i="5"/>
  <c r="BK428" i="5"/>
  <c r="BK172" i="5"/>
  <c r="BJ172" i="5"/>
  <c r="BK459" i="5"/>
  <c r="BJ459" i="5"/>
  <c r="BJ37" i="5"/>
  <c r="BK37" i="5"/>
  <c r="BJ41" i="5"/>
  <c r="BK41" i="5"/>
  <c r="BJ326" i="5"/>
  <c r="BK326" i="5"/>
  <c r="BK338" i="5"/>
  <c r="BM338" i="5" s="1"/>
  <c r="BJ338" i="5"/>
  <c r="BJ82" i="5"/>
  <c r="BK82" i="5"/>
  <c r="BJ365" i="5"/>
  <c r="BK365" i="5"/>
  <c r="BJ376" i="5"/>
  <c r="BK376" i="5"/>
  <c r="BK120" i="5"/>
  <c r="BJ120" i="5"/>
  <c r="BK407" i="5"/>
  <c r="BJ407" i="5"/>
  <c r="BJ510" i="5"/>
  <c r="BK510" i="5"/>
  <c r="BJ446" i="5"/>
  <c r="BK446" i="5"/>
  <c r="BJ201" i="5"/>
  <c r="BL201" i="5" s="1"/>
  <c r="BK201" i="5"/>
  <c r="BK228" i="5"/>
  <c r="BJ228" i="5"/>
  <c r="BK515" i="5"/>
  <c r="BJ515" i="5"/>
  <c r="BK291" i="5"/>
  <c r="BJ291" i="5"/>
  <c r="BK227" i="5"/>
  <c r="BM227" i="5" s="1"/>
  <c r="BJ227" i="5"/>
  <c r="BJ506" i="5"/>
  <c r="BK506" i="5"/>
  <c r="BJ250" i="5"/>
  <c r="BK250" i="5"/>
  <c r="BJ533" i="5"/>
  <c r="BK533" i="5"/>
  <c r="BJ528" i="5"/>
  <c r="BL528" i="5" s="1"/>
  <c r="BK528" i="5"/>
  <c r="BJ336" i="5"/>
  <c r="BK336" i="5"/>
  <c r="BJ272" i="5"/>
  <c r="BK272" i="5"/>
  <c r="BK559" i="5"/>
  <c r="BJ559" i="5"/>
  <c r="BJ273" i="5"/>
  <c r="BK273" i="5"/>
  <c r="BJ348" i="5"/>
  <c r="BK348" i="5"/>
  <c r="BJ284" i="5"/>
  <c r="BK284" i="5"/>
  <c r="BJ299" i="5"/>
  <c r="BL299" i="5" s="1"/>
  <c r="BK299" i="5"/>
  <c r="BK43" i="5"/>
  <c r="BJ43" i="5"/>
  <c r="BL43" i="5" s="1"/>
  <c r="BJ351" i="5"/>
  <c r="BK351" i="5"/>
  <c r="BJ25" i="5"/>
  <c r="BK25" i="5"/>
  <c r="BK386" i="5"/>
  <c r="BJ66" i="5"/>
  <c r="BK66" i="5"/>
  <c r="BM66" i="5" s="1"/>
  <c r="BJ413" i="5"/>
  <c r="BK413" i="5"/>
  <c r="BJ349" i="5"/>
  <c r="BK349" i="5"/>
  <c r="BJ141" i="5"/>
  <c r="BK141" i="5"/>
  <c r="BM141" i="5" s="1"/>
  <c r="BJ77" i="5"/>
  <c r="BK77" i="5"/>
  <c r="BJ360" i="5"/>
  <c r="BL360" i="5" s="1"/>
  <c r="BK360" i="5"/>
  <c r="BK104" i="5"/>
  <c r="BJ104" i="5"/>
  <c r="BK391" i="5"/>
  <c r="BJ391" i="5"/>
  <c r="BJ430" i="5"/>
  <c r="BK430" i="5"/>
  <c r="BM430" i="5" s="1"/>
  <c r="BJ185" i="5"/>
  <c r="BK185" i="5"/>
  <c r="BJ468" i="5"/>
  <c r="BL468" i="5" s="1"/>
  <c r="BK468" i="5"/>
  <c r="BK212" i="5"/>
  <c r="BJ212" i="5"/>
  <c r="BK22" i="5"/>
  <c r="BJ22" i="5"/>
  <c r="BK499" i="5"/>
  <c r="BM499" i="5" s="1"/>
  <c r="BJ499" i="5"/>
  <c r="BJ275" i="5"/>
  <c r="BK275" i="5"/>
  <c r="BJ554" i="5"/>
  <c r="BK554" i="5"/>
  <c r="BJ490" i="5"/>
  <c r="BK490" i="5"/>
  <c r="BJ234" i="5"/>
  <c r="BK234" i="5"/>
  <c r="BM234" i="5" s="1"/>
  <c r="BJ517" i="5"/>
  <c r="BK517" i="5"/>
  <c r="BJ512" i="5"/>
  <c r="BL512" i="5" s="1"/>
  <c r="BK512" i="5"/>
  <c r="BJ256" i="5"/>
  <c r="BK256" i="5"/>
  <c r="BK63" i="5"/>
  <c r="BJ63" i="5"/>
  <c r="BJ268" i="5"/>
  <c r="BK268" i="5"/>
  <c r="BK555" i="5"/>
  <c r="BJ555" i="5"/>
  <c r="BJ91" i="5"/>
  <c r="BJ7" i="5"/>
  <c r="BK7" i="5"/>
  <c r="BJ434" i="5"/>
  <c r="BL434" i="5" s="1"/>
  <c r="BK434" i="5"/>
  <c r="BJ178" i="5"/>
  <c r="BK178" i="5"/>
  <c r="BM178" i="5" s="1"/>
  <c r="BJ525" i="5"/>
  <c r="BK525" i="5"/>
  <c r="BJ189" i="5"/>
  <c r="BK189" i="5"/>
  <c r="BJ472" i="5"/>
  <c r="BK472" i="5"/>
  <c r="BJ26" i="5"/>
  <c r="BK26" i="5"/>
  <c r="BK19" i="5"/>
  <c r="BJ19" i="5"/>
  <c r="BJ286" i="5"/>
  <c r="BK286" i="5"/>
  <c r="BJ28" i="5"/>
  <c r="BK28" i="5"/>
  <c r="BK39" i="5"/>
  <c r="BJ39" i="5"/>
  <c r="BK68" i="5"/>
  <c r="BJ68" i="5"/>
  <c r="BK51" i="5"/>
  <c r="BJ51" i="5"/>
  <c r="BL51" i="5" s="1"/>
  <c r="BK346" i="5"/>
  <c r="BJ346" i="5"/>
  <c r="BJ90" i="5"/>
  <c r="BK90" i="5"/>
  <c r="BJ357" i="5"/>
  <c r="BK357" i="5"/>
  <c r="BK149" i="5"/>
  <c r="BJ149" i="5"/>
  <c r="BK368" i="5"/>
  <c r="BJ368" i="5"/>
  <c r="BK112" i="5"/>
  <c r="BJ112" i="5"/>
  <c r="BK399" i="5"/>
  <c r="BJ399" i="5"/>
  <c r="BJ111" i="5"/>
  <c r="BK111" i="5"/>
  <c r="BJ102" i="5"/>
  <c r="BK102" i="5"/>
  <c r="BK475" i="5"/>
  <c r="BJ475" i="5"/>
  <c r="BK411" i="5"/>
  <c r="BJ411" i="5"/>
  <c r="BJ139" i="5"/>
  <c r="BK139" i="5"/>
  <c r="BK339" i="5"/>
  <c r="BM339" i="5" s="1"/>
  <c r="BJ339" i="5"/>
  <c r="BJ530" i="5"/>
  <c r="BK530" i="5"/>
  <c r="BJ241" i="5"/>
  <c r="BK241" i="5"/>
  <c r="BM241" i="5" s="1"/>
  <c r="BJ534" i="5"/>
  <c r="BK534" i="5"/>
  <c r="BJ278" i="5"/>
  <c r="BK278" i="5"/>
  <c r="BJ290" i="5"/>
  <c r="BK290" i="5"/>
  <c r="BJ32" i="5"/>
  <c r="BK32" i="5"/>
  <c r="BJ317" i="5"/>
  <c r="BK317" i="5"/>
  <c r="BJ109" i="5"/>
  <c r="BK109" i="5"/>
  <c r="BM109" i="5" s="1"/>
  <c r="BK136" i="5"/>
  <c r="BJ136" i="5"/>
  <c r="BK72" i="5"/>
  <c r="BJ72" i="5"/>
  <c r="BJ359" i="5"/>
  <c r="BK359" i="5"/>
  <c r="BJ87" i="5"/>
  <c r="BK87" i="5"/>
  <c r="BJ436" i="5"/>
  <c r="BK436" i="5"/>
  <c r="BK180" i="5"/>
  <c r="BJ180" i="5"/>
  <c r="BJ179" i="5"/>
  <c r="BL179" i="5" s="1"/>
  <c r="BK179" i="5"/>
  <c r="BJ458" i="5"/>
  <c r="BK458" i="5"/>
  <c r="BJ469" i="5"/>
  <c r="BK469" i="5"/>
  <c r="BJ197" i="5"/>
  <c r="BK197" i="5"/>
  <c r="BJ480" i="5"/>
  <c r="BK480" i="5"/>
  <c r="BM480" i="5" s="1"/>
  <c r="BJ224" i="5"/>
  <c r="BK224" i="5"/>
  <c r="BK511" i="5"/>
  <c r="BJ511" i="5"/>
  <c r="BJ287" i="5"/>
  <c r="BK287" i="5"/>
  <c r="BJ223" i="5"/>
  <c r="BL223" i="5" s="1"/>
  <c r="BK223" i="5"/>
  <c r="BJ481" i="5"/>
  <c r="BK481" i="5"/>
  <c r="BK209" i="5"/>
  <c r="BJ209" i="5"/>
  <c r="BJ492" i="5"/>
  <c r="BK492" i="5"/>
  <c r="BK59" i="5"/>
  <c r="BJ59" i="5"/>
  <c r="BJ83" i="5"/>
  <c r="BK83" i="5"/>
  <c r="BK335" i="5"/>
  <c r="BJ335" i="5"/>
  <c r="BJ390" i="5"/>
  <c r="BK390" i="5"/>
  <c r="BJ402" i="5"/>
  <c r="BK402" i="5"/>
  <c r="BJ210" i="5"/>
  <c r="BK210" i="5"/>
  <c r="BJ157" i="5"/>
  <c r="BK157" i="5"/>
  <c r="BM157" i="5" s="1"/>
  <c r="BJ440" i="5"/>
  <c r="BK440" i="5"/>
  <c r="BK184" i="5"/>
  <c r="BJ184" i="5"/>
  <c r="BJ199" i="5"/>
  <c r="BK199" i="5"/>
  <c r="BJ254" i="5"/>
  <c r="BK254" i="5"/>
  <c r="BJ265" i="5"/>
  <c r="BK265" i="5"/>
  <c r="BJ356" i="5"/>
  <c r="BK356" i="5"/>
  <c r="BK292" i="5"/>
  <c r="BJ292" i="5"/>
  <c r="BJ29" i="5"/>
  <c r="BK29" i="5"/>
  <c r="BJ314" i="5"/>
  <c r="BK314" i="5"/>
  <c r="BJ325" i="5"/>
  <c r="BK325" i="5"/>
  <c r="BK53" i="5"/>
  <c r="BJ53" i="5"/>
  <c r="BK80" i="5"/>
  <c r="BJ80" i="5"/>
  <c r="BJ367" i="5"/>
  <c r="BK367" i="5"/>
  <c r="BJ79" i="5"/>
  <c r="BK79" i="5"/>
  <c r="BJ337" i="5"/>
  <c r="BK337" i="5"/>
  <c r="BJ65" i="5"/>
  <c r="BK65" i="5"/>
  <c r="BK92" i="5"/>
  <c r="BJ92" i="5"/>
  <c r="BJ379" i="5"/>
  <c r="BK379" i="5"/>
  <c r="BJ107" i="5"/>
  <c r="BK107" i="5"/>
  <c r="BK21" i="5"/>
  <c r="BJ21" i="5"/>
  <c r="BK374" i="5"/>
  <c r="BJ374" i="5"/>
  <c r="BJ130" i="5"/>
  <c r="BK130" i="5"/>
  <c r="BJ424" i="5"/>
  <c r="BL424" i="5" s="1"/>
  <c r="BK424" i="5"/>
  <c r="BK455" i="5"/>
  <c r="BJ455" i="5"/>
  <c r="BJ183" i="5"/>
  <c r="BK183" i="5"/>
  <c r="BM183" i="5" s="1"/>
  <c r="BJ494" i="5"/>
  <c r="BK494" i="5"/>
  <c r="BJ238" i="5"/>
  <c r="BK238" i="5"/>
  <c r="BJ340" i="5"/>
  <c r="BK340" i="5"/>
  <c r="BK276" i="5"/>
  <c r="BJ276" i="5"/>
  <c r="BJ67" i="5"/>
  <c r="BK67" i="5"/>
  <c r="BJ298" i="5"/>
  <c r="BK298" i="5"/>
  <c r="BJ40" i="5"/>
  <c r="BK40" i="5"/>
  <c r="BJ309" i="5"/>
  <c r="BK309" i="5"/>
  <c r="BJ101" i="5"/>
  <c r="BK101" i="5"/>
  <c r="BK35" i="5"/>
  <c r="BJ35" i="5"/>
  <c r="BJ384" i="5"/>
  <c r="BL384" i="5" s="1"/>
  <c r="BK384" i="5"/>
  <c r="BJ320" i="5"/>
  <c r="BK320" i="5"/>
  <c r="BK64" i="5"/>
  <c r="BJ64" i="5"/>
  <c r="BJ36" i="5"/>
  <c r="BK36" i="5"/>
  <c r="BJ113" i="5"/>
  <c r="BK113" i="5"/>
  <c r="BJ49" i="5"/>
  <c r="BK49" i="5"/>
  <c r="BJ332" i="5"/>
  <c r="BK332" i="5"/>
  <c r="BK76" i="5"/>
  <c r="BJ76" i="5"/>
  <c r="BJ363" i="5"/>
  <c r="BK363" i="5"/>
  <c r="BK155" i="5"/>
  <c r="BK343" i="5"/>
  <c r="BJ343" i="5"/>
  <c r="BJ242" i="5"/>
  <c r="BK242" i="5"/>
  <c r="BJ269" i="5"/>
  <c r="BK269" i="5"/>
  <c r="BJ536" i="5"/>
  <c r="BK536" i="5"/>
  <c r="BJ344" i="5"/>
  <c r="BK344" i="5"/>
  <c r="BJ280" i="5"/>
  <c r="BK280" i="5"/>
  <c r="BJ295" i="5"/>
  <c r="BK295" i="5"/>
  <c r="BK350" i="5"/>
  <c r="BJ350" i="5"/>
  <c r="BJ425" i="5"/>
  <c r="BK425" i="5"/>
  <c r="BJ361" i="5"/>
  <c r="BK361" i="5"/>
  <c r="BJ388" i="5"/>
  <c r="BK388" i="5"/>
  <c r="BJ410" i="5"/>
  <c r="BK410" i="5"/>
  <c r="BK154" i="5"/>
  <c r="BJ154" i="5"/>
  <c r="BK463" i="5"/>
  <c r="BJ463" i="5"/>
  <c r="BK239" i="5"/>
  <c r="BJ239" i="5"/>
  <c r="BJ175" i="5"/>
  <c r="BK175" i="5"/>
  <c r="BJ508" i="5"/>
  <c r="BK508" i="5"/>
  <c r="BJ444" i="5"/>
  <c r="BK444" i="5"/>
  <c r="BK188" i="5"/>
  <c r="BJ188" i="5"/>
  <c r="BJ267" i="5"/>
  <c r="BK267" i="5"/>
  <c r="BJ203" i="5"/>
  <c r="BK203" i="5"/>
  <c r="BJ505" i="5"/>
  <c r="BK505" i="5"/>
  <c r="BJ342" i="5"/>
  <c r="BK342" i="5"/>
  <c r="BK354" i="5"/>
  <c r="BJ354" i="5"/>
  <c r="BJ98" i="5"/>
  <c r="BK98" i="5"/>
  <c r="BJ445" i="5"/>
  <c r="BK445" i="5"/>
  <c r="BJ392" i="5"/>
  <c r="BK392" i="5"/>
  <c r="BJ526" i="5"/>
  <c r="BK526" i="5"/>
  <c r="BJ473" i="5"/>
  <c r="BK473" i="5"/>
  <c r="BJ217" i="5"/>
  <c r="BK217" i="5"/>
  <c r="BJ500" i="5"/>
  <c r="BK500" i="5"/>
  <c r="BK244" i="5"/>
  <c r="BJ244" i="5"/>
  <c r="BJ52" i="5"/>
  <c r="BK52" i="5"/>
  <c r="BK531" i="5"/>
  <c r="BJ531" i="5"/>
  <c r="BJ307" i="5"/>
  <c r="BK307" i="5"/>
  <c r="BJ243" i="5"/>
  <c r="BK243" i="5"/>
  <c r="BJ522" i="5"/>
  <c r="BK522" i="5"/>
  <c r="BK330" i="5"/>
  <c r="BJ330" i="5"/>
  <c r="BJ266" i="5"/>
  <c r="BK266" i="5"/>
  <c r="BJ549" i="5"/>
  <c r="BK549" i="5"/>
  <c r="BJ277" i="5"/>
  <c r="BK277" i="5"/>
  <c r="BJ544" i="5"/>
  <c r="BK544" i="5"/>
  <c r="BJ352" i="5"/>
  <c r="BK352" i="5"/>
  <c r="BM352" i="5" s="1"/>
  <c r="BJ288" i="5"/>
  <c r="BK288" i="5"/>
  <c r="BK13" i="5"/>
  <c r="BJ13" i="5"/>
  <c r="BJ289" i="5"/>
  <c r="BK289" i="5"/>
  <c r="BJ556" i="5"/>
  <c r="BK556" i="5"/>
  <c r="BJ300" i="5"/>
  <c r="BK300" i="5"/>
  <c r="BF536" i="5"/>
  <c r="BG536" i="5" s="1"/>
  <c r="AE536" i="5"/>
  <c r="AE10" i="5"/>
  <c r="AE378" i="5"/>
  <c r="AE13" i="5"/>
  <c r="AD475" i="5"/>
  <c r="AE475" i="5"/>
  <c r="Y7" i="4"/>
  <c r="Z7" i="4" s="1"/>
  <c r="X7" i="4" s="1"/>
  <c r="AD238" i="5"/>
  <c r="AE376" i="5"/>
  <c r="BF427" i="5"/>
  <c r="BH427" i="5" s="1"/>
  <c r="BH447" i="5"/>
  <c r="AD447" i="5"/>
  <c r="BH468" i="5"/>
  <c r="AE468" i="5"/>
  <c r="AD468" i="5"/>
  <c r="AE238" i="5"/>
  <c r="BF376" i="5"/>
  <c r="BH376" i="5" s="1"/>
  <c r="AE537" i="5"/>
  <c r="AE447" i="5"/>
  <c r="BF537" i="5"/>
  <c r="BH537" i="5" s="1"/>
  <c r="AE486" i="5"/>
  <c r="BH484" i="5"/>
  <c r="AD281" i="5"/>
  <c r="AE515" i="5"/>
  <c r="BF456" i="5"/>
  <c r="BG456" i="5" s="1"/>
  <c r="AD554" i="5"/>
  <c r="AE57" i="5"/>
  <c r="BH384" i="5"/>
  <c r="BF421" i="5"/>
  <c r="BG421" i="5" s="1"/>
  <c r="AD427" i="5"/>
  <c r="BG66" i="5"/>
  <c r="AD27" i="5"/>
  <c r="BF310" i="5"/>
  <c r="BH310" i="5" s="1"/>
  <c r="BF554" i="5"/>
  <c r="BH554" i="5" s="1"/>
  <c r="BF492" i="5"/>
  <c r="BG492" i="5" s="1"/>
  <c r="BF189" i="5"/>
  <c r="BG189" i="5" s="1"/>
  <c r="BF515" i="5"/>
  <c r="BG515" i="5" s="1"/>
  <c r="BF547" i="5"/>
  <c r="BH547" i="5" s="1"/>
  <c r="BF414" i="5"/>
  <c r="BG414" i="5" s="1"/>
  <c r="AE290" i="5"/>
  <c r="BF411" i="5"/>
  <c r="BH411" i="5" s="1"/>
  <c r="BF514" i="5"/>
  <c r="BH514" i="5" s="1"/>
  <c r="AE281" i="5"/>
  <c r="AE479" i="5"/>
  <c r="AE391" i="5"/>
  <c r="BF490" i="5"/>
  <c r="BG490" i="5" s="1"/>
  <c r="AE497" i="5"/>
  <c r="AD44" i="5"/>
  <c r="BF44" i="5"/>
  <c r="BG44" i="5" s="1"/>
  <c r="BH553" i="5"/>
  <c r="BH493" i="5"/>
  <c r="AE547" i="5"/>
  <c r="AD290" i="5"/>
  <c r="AE323" i="5"/>
  <c r="AD478" i="5"/>
  <c r="AD360" i="5"/>
  <c r="AD514" i="5"/>
  <c r="AE395" i="5"/>
  <c r="AD446" i="5"/>
  <c r="AD450" i="5"/>
  <c r="AE206" i="5"/>
  <c r="AE446" i="5"/>
  <c r="AD206" i="5"/>
  <c r="AD500" i="5"/>
  <c r="AD508" i="5"/>
  <c r="BF58" i="5"/>
  <c r="BG58" i="5" s="1"/>
  <c r="BF509" i="5"/>
  <c r="BG509" i="5" s="1"/>
  <c r="AE455" i="5"/>
  <c r="BF351" i="5"/>
  <c r="BG351" i="5" s="1"/>
  <c r="BF463" i="5"/>
  <c r="BG463" i="5" s="1"/>
  <c r="BF500" i="5"/>
  <c r="BG500" i="5" s="1"/>
  <c r="AE25" i="5"/>
  <c r="BF377" i="5"/>
  <c r="BG377" i="5" s="1"/>
  <c r="BF486" i="5"/>
  <c r="BH486" i="5" s="1"/>
  <c r="AE35" i="5"/>
  <c r="AD259" i="5"/>
  <c r="AD484" i="5"/>
  <c r="AE487" i="5"/>
  <c r="BF300" i="5"/>
  <c r="BG300" i="5" s="1"/>
  <c r="AE353" i="5"/>
  <c r="BF487" i="5"/>
  <c r="BG487" i="5" s="1"/>
  <c r="BF336" i="5"/>
  <c r="BG336" i="5" s="1"/>
  <c r="AD462" i="5"/>
  <c r="BH462" i="5"/>
  <c r="BF388" i="5"/>
  <c r="BH388" i="5" s="1"/>
  <c r="AE397" i="5"/>
  <c r="AD300" i="5"/>
  <c r="AE462" i="5"/>
  <c r="AE553" i="5"/>
  <c r="AD58" i="5"/>
  <c r="AD490" i="5"/>
  <c r="BF455" i="5"/>
  <c r="BH455" i="5" s="1"/>
  <c r="AE34" i="5"/>
  <c r="AD70" i="5"/>
  <c r="BH308" i="5"/>
  <c r="BG450" i="5"/>
  <c r="AE509" i="5"/>
  <c r="AD308" i="5"/>
  <c r="AD553" i="5"/>
  <c r="AE97" i="5"/>
  <c r="AE493" i="5"/>
  <c r="AD266" i="5"/>
  <c r="AE351" i="5"/>
  <c r="BF526" i="5"/>
  <c r="BH526" i="5" s="1"/>
  <c r="AD493" i="5"/>
  <c r="AD411" i="5"/>
  <c r="BF540" i="5"/>
  <c r="BG540" i="5" s="1"/>
  <c r="AE375" i="5"/>
  <c r="AE557" i="5"/>
  <c r="AD279" i="5"/>
  <c r="AD251" i="5"/>
  <c r="AE498" i="5"/>
  <c r="AD276" i="5"/>
  <c r="BF556" i="5"/>
  <c r="BG556" i="5" s="1"/>
  <c r="BH395" i="5"/>
  <c r="AD395" i="5"/>
  <c r="BF186" i="5"/>
  <c r="BG186" i="5" s="1"/>
  <c r="AE440" i="5"/>
  <c r="BG152" i="5"/>
  <c r="BG498" i="5"/>
  <c r="BF406" i="5"/>
  <c r="BG406" i="5" s="1"/>
  <c r="AD186" i="5"/>
  <c r="AE349" i="5"/>
  <c r="BF391" i="5"/>
  <c r="BG391" i="5" s="1"/>
  <c r="AD250" i="5"/>
  <c r="BG489" i="5"/>
  <c r="BF378" i="5"/>
  <c r="BH378" i="5" s="1"/>
  <c r="AD57" i="5"/>
  <c r="AD492" i="5"/>
  <c r="AE279" i="5"/>
  <c r="BF363" i="5"/>
  <c r="BH363" i="5" s="1"/>
  <c r="AE384" i="5"/>
  <c r="BF349" i="5"/>
  <c r="BG349" i="5" s="1"/>
  <c r="BF375" i="5"/>
  <c r="BH375" i="5" s="1"/>
  <c r="BG279" i="5"/>
  <c r="AE456" i="5"/>
  <c r="BG550" i="5"/>
  <c r="BH43" i="5"/>
  <c r="AE484" i="5"/>
  <c r="AE66" i="5"/>
  <c r="BF345" i="5"/>
  <c r="BG345" i="5" s="1"/>
  <c r="AE152" i="5"/>
  <c r="AE226" i="5"/>
  <c r="BF542" i="5"/>
  <c r="BH542" i="5" s="1"/>
  <c r="BF226" i="5"/>
  <c r="BG226" i="5" s="1"/>
  <c r="BF320" i="5"/>
  <c r="BG320" i="5" s="1"/>
  <c r="BF405" i="5"/>
  <c r="BH405" i="5" s="1"/>
  <c r="BF496" i="5"/>
  <c r="BG496" i="5" s="1"/>
  <c r="AD248" i="5"/>
  <c r="AE27" i="5"/>
  <c r="AE357" i="5"/>
  <c r="AE310" i="5"/>
  <c r="AD421" i="5"/>
  <c r="AE289" i="5"/>
  <c r="AE189" i="5"/>
  <c r="AD320" i="5"/>
  <c r="AD489" i="5"/>
  <c r="AE248" i="5"/>
  <c r="AD150" i="5"/>
  <c r="AE414" i="5"/>
  <c r="AE377" i="5"/>
  <c r="AE53" i="5"/>
  <c r="BF35" i="5"/>
  <c r="BG35" i="5" s="1"/>
  <c r="BF272" i="5"/>
  <c r="BH272" i="5" s="1"/>
  <c r="AE272" i="5"/>
  <c r="AD417" i="5"/>
  <c r="BG134" i="5"/>
  <c r="AD479" i="5"/>
  <c r="BF402" i="5"/>
  <c r="BG402" i="5" s="1"/>
  <c r="AE505" i="5"/>
  <c r="BF367" i="5"/>
  <c r="BH367" i="5" s="1"/>
  <c r="BF355" i="5"/>
  <c r="BG355" i="5" s="1"/>
  <c r="AE345" i="5"/>
  <c r="BF239" i="5"/>
  <c r="BH239" i="5" s="1"/>
  <c r="AD66" i="5"/>
  <c r="AD152" i="5"/>
  <c r="AD498" i="5"/>
  <c r="BF521" i="5"/>
  <c r="BH521" i="5" s="1"/>
  <c r="BF560" i="5"/>
  <c r="BH560" i="5" s="1"/>
  <c r="AE560" i="5"/>
  <c r="BG501" i="5"/>
  <c r="BH512" i="5"/>
  <c r="BH360" i="5"/>
  <c r="AD510" i="5"/>
  <c r="AD296" i="5"/>
  <c r="AD557" i="5"/>
  <c r="BF318" i="5"/>
  <c r="BH318" i="5" s="1"/>
  <c r="AE336" i="5"/>
  <c r="AD482" i="5"/>
  <c r="BF440" i="5"/>
  <c r="BG440" i="5" s="1"/>
  <c r="BG207" i="5"/>
  <c r="AE530" i="5"/>
  <c r="BF478" i="5"/>
  <c r="BH478" i="5" s="1"/>
  <c r="AD556" i="5"/>
  <c r="AE256" i="5"/>
  <c r="AE231" i="5"/>
  <c r="BG137" i="5"/>
  <c r="BH541" i="5"/>
  <c r="BF507" i="5"/>
  <c r="BG507" i="5" s="1"/>
  <c r="AD163" i="5"/>
  <c r="AD512" i="5"/>
  <c r="AD128" i="5"/>
  <c r="AD540" i="5"/>
  <c r="AD384" i="5"/>
  <c r="BF276" i="5"/>
  <c r="BG276" i="5" s="1"/>
  <c r="AE555" i="5"/>
  <c r="AD405" i="5"/>
  <c r="AE489" i="5"/>
  <c r="AD442" i="5"/>
  <c r="AD501" i="5"/>
  <c r="BF470" i="5"/>
  <c r="BG470" i="5" s="1"/>
  <c r="BF340" i="5"/>
  <c r="BG340" i="5" s="1"/>
  <c r="AD256" i="5"/>
  <c r="AE99" i="5"/>
  <c r="BG442" i="5"/>
  <c r="BH128" i="5"/>
  <c r="AD406" i="5"/>
  <c r="AE364" i="5"/>
  <c r="BF347" i="5"/>
  <c r="BG347" i="5" s="1"/>
  <c r="AD207" i="5"/>
  <c r="BF491" i="5"/>
  <c r="BG491" i="5" s="1"/>
  <c r="AD491" i="5"/>
  <c r="AD541" i="5"/>
  <c r="AD137" i="5"/>
  <c r="AE207" i="5"/>
  <c r="AE360" i="5"/>
  <c r="BF485" i="5"/>
  <c r="BH485" i="5" s="1"/>
  <c r="BF324" i="5"/>
  <c r="BG324" i="5" s="1"/>
  <c r="AE501" i="5"/>
  <c r="AD542" i="5"/>
  <c r="AE43" i="5"/>
  <c r="AE496" i="5"/>
  <c r="BF397" i="5"/>
  <c r="BG397" i="5" s="1"/>
  <c r="AD402" i="5"/>
  <c r="AE355" i="5"/>
  <c r="BH169" i="5"/>
  <c r="AE388" i="5"/>
  <c r="BF259" i="5"/>
  <c r="BG259" i="5" s="1"/>
  <c r="AD521" i="5"/>
  <c r="BF505" i="5"/>
  <c r="BG505" i="5" s="1"/>
  <c r="BF111" i="5"/>
  <c r="BH111" i="5" s="1"/>
  <c r="BF148" i="5"/>
  <c r="BG148" i="5" s="1"/>
  <c r="AD488" i="5"/>
  <c r="BF488" i="5"/>
  <c r="BG488" i="5" s="1"/>
  <c r="AD43" i="5"/>
  <c r="AE169" i="5"/>
  <c r="BF10" i="5"/>
  <c r="AD282" i="5"/>
  <c r="AD169" i="5"/>
  <c r="AE235" i="5"/>
  <c r="BF12" i="5"/>
  <c r="BG12" i="5" s="1"/>
  <c r="BF34" i="5"/>
  <c r="BG34" i="5" s="1"/>
  <c r="BH412" i="5"/>
  <c r="AD367" i="5"/>
  <c r="BF266" i="5"/>
  <c r="BG266" i="5" s="1"/>
  <c r="BF335" i="5"/>
  <c r="BG335" i="5" s="1"/>
  <c r="AE308" i="5"/>
  <c r="BF94" i="5"/>
  <c r="BG94" i="5" s="1"/>
  <c r="AC9" i="5"/>
  <c r="AD9" i="5" s="1"/>
  <c r="AD160" i="5"/>
  <c r="BF530" i="5"/>
  <c r="BG530" i="5" s="1"/>
  <c r="AE470" i="5"/>
  <c r="BF380" i="5"/>
  <c r="BH380" i="5" s="1"/>
  <c r="AE436" i="5"/>
  <c r="AE76" i="5"/>
  <c r="BH146" i="5"/>
  <c r="AD364" i="5"/>
  <c r="AE318" i="5"/>
  <c r="AD49" i="5"/>
  <c r="BH520" i="5"/>
  <c r="BF497" i="5"/>
  <c r="BH497" i="5" s="1"/>
  <c r="AD335" i="5"/>
  <c r="AE473" i="5"/>
  <c r="AD127" i="5"/>
  <c r="AE541" i="5"/>
  <c r="AE512" i="5"/>
  <c r="AD467" i="5"/>
  <c r="AE520" i="5"/>
  <c r="AE288" i="5"/>
  <c r="BF370" i="5"/>
  <c r="BG370" i="5" s="1"/>
  <c r="BF409" i="5"/>
  <c r="BH409" i="5" s="1"/>
  <c r="BG467" i="5"/>
  <c r="BF482" i="5"/>
  <c r="BH482" i="5" s="1"/>
  <c r="BF288" i="5"/>
  <c r="BH288" i="5" s="1"/>
  <c r="AD409" i="5"/>
  <c r="AE394" i="5"/>
  <c r="BF394" i="5"/>
  <c r="BH394" i="5" s="1"/>
  <c r="AD94" i="5"/>
  <c r="AE442" i="5"/>
  <c r="AE370" i="5"/>
  <c r="AE472" i="5"/>
  <c r="BF472" i="5"/>
  <c r="BF76" i="5"/>
  <c r="BH76" i="5" s="1"/>
  <c r="AE49" i="5"/>
  <c r="AE508" i="5"/>
  <c r="BF473" i="5"/>
  <c r="BH473" i="5" s="1"/>
  <c r="AD463" i="5"/>
  <c r="AE412" i="5"/>
  <c r="AE467" i="5"/>
  <c r="AE160" i="5"/>
  <c r="BG251" i="5"/>
  <c r="AE128" i="5"/>
  <c r="AD412" i="5"/>
  <c r="AE110" i="5"/>
  <c r="AD110" i="5"/>
  <c r="AD520" i="5"/>
  <c r="BF97" i="5"/>
  <c r="BH97" i="5" s="1"/>
  <c r="BF323" i="5"/>
  <c r="BH323" i="5" s="1"/>
  <c r="AE12" i="5"/>
  <c r="AD13" i="5"/>
  <c r="BH223" i="5"/>
  <c r="AE137" i="5"/>
  <c r="AE450" i="5"/>
  <c r="AD148" i="5"/>
  <c r="BF417" i="5"/>
  <c r="BH417" i="5" s="1"/>
  <c r="AD69" i="5"/>
  <c r="AD495" i="5"/>
  <c r="BA9" i="5"/>
  <c r="BB9" i="5"/>
  <c r="BF150" i="5"/>
  <c r="BH150" i="5" s="1"/>
  <c r="AE258" i="5"/>
  <c r="AD408" i="5"/>
  <c r="AE340" i="5"/>
  <c r="BF282" i="5"/>
  <c r="BH282" i="5" s="1"/>
  <c r="BF85" i="5"/>
  <c r="BH85" i="5" s="1"/>
  <c r="BF449" i="5"/>
  <c r="BH449" i="5" s="1"/>
  <c r="AE510" i="5"/>
  <c r="BF131" i="5"/>
  <c r="BH131" i="5" s="1"/>
  <c r="BF99" i="5"/>
  <c r="BG99" i="5" s="1"/>
  <c r="BF29" i="5"/>
  <c r="BH29" i="5" s="1"/>
  <c r="BF289" i="5"/>
  <c r="BH289" i="5" s="1"/>
  <c r="BF163" i="5"/>
  <c r="BH163" i="5" s="1"/>
  <c r="AE363" i="5"/>
  <c r="BF250" i="5"/>
  <c r="BG250" i="5" s="1"/>
  <c r="AE422" i="5"/>
  <c r="X9" i="5"/>
  <c r="Y9" i="5"/>
  <c r="BH69" i="5"/>
  <c r="AD85" i="5"/>
  <c r="AD449" i="5"/>
  <c r="AD471" i="5"/>
  <c r="AE471" i="5"/>
  <c r="AD396" i="5"/>
  <c r="BF546" i="5"/>
  <c r="BH546" i="5" s="1"/>
  <c r="BF516" i="5"/>
  <c r="BG516" i="5" s="1"/>
  <c r="BF115" i="5"/>
  <c r="BG115" i="5" s="1"/>
  <c r="AD339" i="5"/>
  <c r="AD115" i="5"/>
  <c r="BF296" i="5"/>
  <c r="BG296" i="5" s="1"/>
  <c r="AE325" i="5"/>
  <c r="AD550" i="5"/>
  <c r="AE65" i="5"/>
  <c r="AE8" i="5"/>
  <c r="AD8" i="5"/>
  <c r="B235" i="2" s="1"/>
  <c r="F71" i="1" s="1"/>
  <c r="R9" i="5"/>
  <c r="S9" i="5"/>
  <c r="AV9" i="5"/>
  <c r="AU9" i="5"/>
  <c r="BC9" i="5"/>
  <c r="BF532" i="5"/>
  <c r="BG532" i="5" s="1"/>
  <c r="BF38" i="5"/>
  <c r="BG38" i="5" s="1"/>
  <c r="AD448" i="5"/>
  <c r="AE339" i="5"/>
  <c r="BH471" i="5"/>
  <c r="AE507" i="5"/>
  <c r="AE134" i="5"/>
  <c r="BF45" i="5"/>
  <c r="BG45" i="5" s="1"/>
  <c r="BF494" i="5"/>
  <c r="BH494" i="5" s="1"/>
  <c r="AB9" i="5"/>
  <c r="AA9" i="5"/>
  <c r="BH13" i="5"/>
  <c r="BG13" i="5"/>
  <c r="AE448" i="5"/>
  <c r="AE408" i="5"/>
  <c r="AD191" i="5"/>
  <c r="AD231" i="5"/>
  <c r="AD131" i="5"/>
  <c r="BF53" i="5"/>
  <c r="BG53" i="5" s="1"/>
  <c r="AE29" i="5"/>
  <c r="BG110" i="5"/>
  <c r="AE426" i="5"/>
  <c r="AD516" i="5"/>
  <c r="AE330" i="5"/>
  <c r="AD39" i="5"/>
  <c r="BG499" i="5"/>
  <c r="BH504" i="5"/>
  <c r="AD353" i="5"/>
  <c r="BF410" i="5"/>
  <c r="BG410" i="5" s="1"/>
  <c r="AD239" i="5"/>
  <c r="BF396" i="5"/>
  <c r="BG396" i="5" s="1"/>
  <c r="AE251" i="5"/>
  <c r="BF325" i="5"/>
  <c r="AE550" i="5"/>
  <c r="BF235" i="5"/>
  <c r="BG235" i="5" s="1"/>
  <c r="AE69" i="5"/>
  <c r="AX9" i="5"/>
  <c r="AY9" i="5"/>
  <c r="U9" i="5"/>
  <c r="V9" i="5"/>
  <c r="BF154" i="5"/>
  <c r="BG154" i="5" s="1"/>
  <c r="AE130" i="5"/>
  <c r="BG96" i="5"/>
  <c r="BF219" i="5"/>
  <c r="BH219" i="5" s="1"/>
  <c r="AE366" i="5"/>
  <c r="BF382" i="5"/>
  <c r="BH382" i="5" s="1"/>
  <c r="AE499" i="5"/>
  <c r="BF555" i="5"/>
  <c r="BG555" i="5" s="1"/>
  <c r="AE159" i="5"/>
  <c r="BH434" i="5"/>
  <c r="AE96" i="5"/>
  <c r="BF175" i="5"/>
  <c r="BH175" i="5" s="1"/>
  <c r="AE103" i="5"/>
  <c r="AD347" i="5"/>
  <c r="AE334" i="5"/>
  <c r="BF64" i="5"/>
  <c r="BH64" i="5" s="1"/>
  <c r="BF50" i="5"/>
  <c r="BG50" i="5" s="1"/>
  <c r="AD195" i="5"/>
  <c r="BF436" i="5"/>
  <c r="BG436" i="5" s="1"/>
  <c r="BF524" i="5"/>
  <c r="BH524" i="5" s="1"/>
  <c r="AE212" i="5"/>
  <c r="BF83" i="5"/>
  <c r="BG83" i="5" s="1"/>
  <c r="BH46" i="5"/>
  <c r="BF443" i="5"/>
  <c r="BH443" i="5" s="1"/>
  <c r="BF203" i="5"/>
  <c r="BH203" i="5" s="1"/>
  <c r="AE548" i="5"/>
  <c r="AE46" i="5"/>
  <c r="AD273" i="5"/>
  <c r="BH372" i="5"/>
  <c r="AE223" i="5"/>
  <c r="BG495" i="5"/>
  <c r="AE255" i="5"/>
  <c r="BF273" i="5"/>
  <c r="BH273" i="5" s="1"/>
  <c r="AD107" i="5"/>
  <c r="AE457" i="5"/>
  <c r="AD328" i="5"/>
  <c r="AE70" i="5"/>
  <c r="AD223" i="5"/>
  <c r="AE495" i="5"/>
  <c r="BF130" i="5"/>
  <c r="BH130" i="5" s="1"/>
  <c r="BG241" i="5"/>
  <c r="BH8" i="5"/>
  <c r="BF330" i="5"/>
  <c r="BG330" i="5" s="1"/>
  <c r="AE142" i="5"/>
  <c r="AD443" i="5"/>
  <c r="AE373" i="5"/>
  <c r="AD96" i="5"/>
  <c r="BG373" i="5"/>
  <c r="AD538" i="5"/>
  <c r="BF22" i="5"/>
  <c r="BH22" i="5" s="1"/>
  <c r="AE331" i="5"/>
  <c r="AD366" i="5"/>
  <c r="BG71" i="5"/>
  <c r="AE538" i="5"/>
  <c r="AD278" i="5"/>
  <c r="BF127" i="5"/>
  <c r="BG127" i="5" s="1"/>
  <c r="AD326" i="5"/>
  <c r="BF331" i="5"/>
  <c r="BG331" i="5" s="1"/>
  <c r="AE83" i="5"/>
  <c r="BF25" i="5"/>
  <c r="BH25" i="5" s="1"/>
  <c r="AD146" i="5"/>
  <c r="AE241" i="5"/>
  <c r="AD22" i="5"/>
  <c r="AD499" i="5"/>
  <c r="AD373" i="5"/>
  <c r="AE321" i="5"/>
  <c r="BF268" i="5"/>
  <c r="BH268" i="5" s="1"/>
  <c r="AE200" i="5"/>
  <c r="AE146" i="5"/>
  <c r="AE203" i="5"/>
  <c r="BF278" i="5"/>
  <c r="BG278" i="5" s="1"/>
  <c r="AD241" i="5"/>
  <c r="BF326" i="5"/>
  <c r="BG326" i="5" s="1"/>
  <c r="BF321" i="5"/>
  <c r="BG321" i="5" s="1"/>
  <c r="BF381" i="5"/>
  <c r="BH381" i="5" s="1"/>
  <c r="AD141" i="5"/>
  <c r="BH299" i="5"/>
  <c r="AD548" i="5"/>
  <c r="BH548" i="5"/>
  <c r="BF551" i="5"/>
  <c r="BG551" i="5" s="1"/>
  <c r="AE301" i="5"/>
  <c r="BF107" i="5"/>
  <c r="BH107" i="5" s="1"/>
  <c r="AD178" i="5"/>
  <c r="AE524" i="5"/>
  <c r="BF354" i="5"/>
  <c r="BH354" i="5" s="1"/>
  <c r="AE551" i="5"/>
  <c r="BF19" i="5"/>
  <c r="BG19" i="5" s="1"/>
  <c r="AD19" i="5"/>
  <c r="BF328" i="5"/>
  <c r="BG328" i="5" s="1"/>
  <c r="AD78" i="5"/>
  <c r="BG144" i="5"/>
  <c r="AD385" i="5"/>
  <c r="AD64" i="5"/>
  <c r="AD313" i="5"/>
  <c r="AE354" i="5"/>
  <c r="BH201" i="5"/>
  <c r="AD301" i="5"/>
  <c r="BF333" i="5"/>
  <c r="BH333" i="5" s="1"/>
  <c r="AE247" i="5"/>
  <c r="BF255" i="5"/>
  <c r="BH255" i="5" s="1"/>
  <c r="BF534" i="5"/>
  <c r="BG534" i="5" s="1"/>
  <c r="AD142" i="5"/>
  <c r="AE372" i="5"/>
  <c r="AD88" i="5"/>
  <c r="AE144" i="5"/>
  <c r="BF342" i="5"/>
  <c r="BG342" i="5" s="1"/>
  <c r="BF457" i="5"/>
  <c r="BG457" i="5" s="1"/>
  <c r="AE227" i="5"/>
  <c r="AD33" i="5"/>
  <c r="AE460" i="5"/>
  <c r="BF220" i="5"/>
  <c r="BH220" i="5" s="1"/>
  <c r="BF425" i="5"/>
  <c r="BG425" i="5" s="1"/>
  <c r="AE202" i="5"/>
  <c r="BF438" i="5"/>
  <c r="BH438" i="5" s="1"/>
  <c r="AD247" i="5"/>
  <c r="AE180" i="5"/>
  <c r="BG61" i="5"/>
  <c r="AD344" i="5"/>
  <c r="AD200" i="5"/>
  <c r="AD116" i="5"/>
  <c r="BH253" i="5"/>
  <c r="AD365" i="5"/>
  <c r="AD202" i="5"/>
  <c r="AD253" i="5"/>
  <c r="AD108" i="5"/>
  <c r="BF385" i="5"/>
  <c r="BG385" i="5" s="1"/>
  <c r="AD161" i="5"/>
  <c r="AD249" i="5"/>
  <c r="AE253" i="5"/>
  <c r="AD134" i="5"/>
  <c r="BF523" i="5"/>
  <c r="BH523" i="5" s="1"/>
  <c r="AD46" i="5"/>
  <c r="AE113" i="5"/>
  <c r="AD175" i="5"/>
  <c r="BF197" i="5"/>
  <c r="BG197" i="5" s="1"/>
  <c r="BG178" i="5"/>
  <c r="AE438" i="5"/>
  <c r="AD42" i="5"/>
  <c r="BG108" i="5"/>
  <c r="AD368" i="5"/>
  <c r="AE209" i="5"/>
  <c r="BG88" i="5"/>
  <c r="AD433" i="5"/>
  <c r="AE36" i="5"/>
  <c r="AE108" i="5"/>
  <c r="BF161" i="5"/>
  <c r="BH161" i="5" s="1"/>
  <c r="BF298" i="5"/>
  <c r="BH298" i="5" s="1"/>
  <c r="AD283" i="5"/>
  <c r="BF533" i="5"/>
  <c r="BG533" i="5" s="1"/>
  <c r="AE21" i="5"/>
  <c r="BF426" i="5"/>
  <c r="BG426" i="5" s="1"/>
  <c r="AE78" i="5"/>
  <c r="BH418" i="5"/>
  <c r="BG480" i="5"/>
  <c r="BH81" i="5"/>
  <c r="AE283" i="5"/>
  <c r="BF549" i="5"/>
  <c r="BH549" i="5" s="1"/>
  <c r="AE546" i="5"/>
  <c r="AE179" i="5"/>
  <c r="AD132" i="5"/>
  <c r="AE201" i="5"/>
  <c r="AD341" i="5"/>
  <c r="AE485" i="5"/>
  <c r="AD558" i="5"/>
  <c r="AE338" i="5"/>
  <c r="BH174" i="5"/>
  <c r="BG174" i="5"/>
  <c r="AD193" i="5"/>
  <c r="AD393" i="5"/>
  <c r="AD410" i="5"/>
  <c r="AE494" i="5"/>
  <c r="BF65" i="5"/>
  <c r="BH65" i="5" s="1"/>
  <c r="AD324" i="5"/>
  <c r="BF390" i="5"/>
  <c r="BH390" i="5" s="1"/>
  <c r="AE390" i="5"/>
  <c r="BG260" i="5"/>
  <c r="BH216" i="5"/>
  <c r="BF194" i="5"/>
  <c r="BH194" i="5" s="1"/>
  <c r="AE437" i="5"/>
  <c r="AD418" i="5"/>
  <c r="BF522" i="5"/>
  <c r="BH522" i="5" s="1"/>
  <c r="AD45" i="5"/>
  <c r="BF559" i="5"/>
  <c r="BG559" i="5" s="1"/>
  <c r="AD258" i="5"/>
  <c r="AE365" i="5"/>
  <c r="AE342" i="5"/>
  <c r="BF229" i="5"/>
  <c r="BH229" i="5" s="1"/>
  <c r="AD227" i="5"/>
  <c r="AE178" i="5"/>
  <c r="AD90" i="5"/>
  <c r="BF209" i="5"/>
  <c r="AD350" i="5"/>
  <c r="AD428" i="5"/>
  <c r="AE532" i="5"/>
  <c r="BF159" i="5"/>
  <c r="BG159" i="5" s="1"/>
  <c r="AD38" i="5"/>
  <c r="BF103" i="5"/>
  <c r="BG103" i="5" s="1"/>
  <c r="AE292" i="5"/>
  <c r="AD298" i="5"/>
  <c r="AE190" i="5"/>
  <c r="AD434" i="5"/>
  <c r="BF399" i="5"/>
  <c r="BH399" i="5" s="1"/>
  <c r="AE72" i="5"/>
  <c r="BH249" i="5"/>
  <c r="AD332" i="5"/>
  <c r="BF403" i="5"/>
  <c r="BG403" i="5" s="1"/>
  <c r="AE220" i="5"/>
  <c r="AE111" i="5"/>
  <c r="BH218" i="5"/>
  <c r="AE229" i="5"/>
  <c r="BF90" i="5"/>
  <c r="BG90" i="5" s="1"/>
  <c r="BF350" i="5"/>
  <c r="BG350" i="5" s="1"/>
  <c r="AE332" i="5"/>
  <c r="AE534" i="5"/>
  <c r="BG430" i="5"/>
  <c r="AE116" i="5"/>
  <c r="BH424" i="5"/>
  <c r="BF269" i="5"/>
  <c r="BG269" i="5" s="1"/>
  <c r="AE424" i="5"/>
  <c r="AD269" i="5"/>
  <c r="AE434" i="5"/>
  <c r="AD504" i="5"/>
  <c r="AE559" i="5"/>
  <c r="BF313" i="5"/>
  <c r="BG313" i="5" s="1"/>
  <c r="AE433" i="5"/>
  <c r="BG227" i="5"/>
  <c r="AE314" i="5"/>
  <c r="BF191" i="5"/>
  <c r="BH191" i="5" s="1"/>
  <c r="BF125" i="5"/>
  <c r="BH125" i="5" s="1"/>
  <c r="AD87" i="5"/>
  <c r="AD416" i="5"/>
  <c r="AD372" i="5"/>
  <c r="BF429" i="5"/>
  <c r="BH429" i="5" s="1"/>
  <c r="AD382" i="5"/>
  <c r="AD424" i="5"/>
  <c r="AE208" i="5"/>
  <c r="AD526" i="5"/>
  <c r="AE218" i="5"/>
  <c r="AD218" i="5"/>
  <c r="BF294" i="5"/>
  <c r="BG294" i="5" s="1"/>
  <c r="AE504" i="5"/>
  <c r="BF72" i="5"/>
  <c r="AD389" i="5"/>
  <c r="BF265" i="5"/>
  <c r="BG265" i="5" s="1"/>
  <c r="AD126" i="5"/>
  <c r="AE393" i="5"/>
  <c r="BF190" i="5"/>
  <c r="BH190" i="5" s="1"/>
  <c r="AE358" i="5"/>
  <c r="AD422" i="5"/>
  <c r="AE249" i="5"/>
  <c r="AD430" i="5"/>
  <c r="AE430" i="5"/>
  <c r="AE88" i="5"/>
  <c r="BF416" i="5"/>
  <c r="BH416" i="5" s="1"/>
  <c r="AD144" i="5"/>
  <c r="AD52" i="5"/>
  <c r="BF334" i="5"/>
  <c r="BF428" i="5"/>
  <c r="AD337" i="5"/>
  <c r="AD205" i="5"/>
  <c r="AE197" i="5"/>
  <c r="BG341" i="5"/>
  <c r="BG234" i="5"/>
  <c r="BF481" i="5"/>
  <c r="BG481" i="5" s="1"/>
  <c r="AD92" i="5"/>
  <c r="AD71" i="5"/>
  <c r="BF445" i="5"/>
  <c r="BG445" i="5" s="1"/>
  <c r="BF132" i="5"/>
  <c r="BG132" i="5" s="1"/>
  <c r="AE139" i="5"/>
  <c r="BF466" i="5"/>
  <c r="BG466" i="5" s="1"/>
  <c r="AD182" i="5"/>
  <c r="AD461" i="5"/>
  <c r="BF461" i="5"/>
  <c r="AE461" i="5"/>
  <c r="BF102" i="5"/>
  <c r="BG102" i="5" s="1"/>
  <c r="AE506" i="5"/>
  <c r="AD196" i="5"/>
  <c r="BG454" i="5"/>
  <c r="AE81" i="5"/>
  <c r="AE389" i="5"/>
  <c r="AE337" i="5"/>
  <c r="AE102" i="5"/>
  <c r="AE185" i="5"/>
  <c r="BG117" i="5"/>
  <c r="AD297" i="5"/>
  <c r="BF95" i="5"/>
  <c r="BG95" i="5" s="1"/>
  <c r="AE280" i="5"/>
  <c r="BF464" i="5"/>
  <c r="BH464" i="5" s="1"/>
  <c r="AD481" i="5"/>
  <c r="AD158" i="5"/>
  <c r="BF92" i="5"/>
  <c r="BG92" i="5" s="1"/>
  <c r="AE469" i="5"/>
  <c r="AE431" i="5"/>
  <c r="AE287" i="5"/>
  <c r="AD454" i="5"/>
  <c r="BF41" i="5"/>
  <c r="BH41" i="5" s="1"/>
  <c r="AD445" i="5"/>
  <c r="AE454" i="5"/>
  <c r="AE61" i="5"/>
  <c r="BF368" i="5"/>
  <c r="BG368" i="5" s="1"/>
  <c r="BF477" i="5"/>
  <c r="BG477" i="5" s="1"/>
  <c r="AE418" i="5"/>
  <c r="AE71" i="5"/>
  <c r="AE552" i="5"/>
  <c r="AD51" i="5"/>
  <c r="AE439" i="5"/>
  <c r="BH118" i="5"/>
  <c r="AD480" i="5"/>
  <c r="AD523" i="5"/>
  <c r="AD59" i="5"/>
  <c r="AE466" i="5"/>
  <c r="BF52" i="5"/>
  <c r="AE228" i="5"/>
  <c r="AE182" i="5"/>
  <c r="BF37" i="5"/>
  <c r="BH37" i="5" s="1"/>
  <c r="BH182" i="5"/>
  <c r="AD95" i="5"/>
  <c r="AD392" i="5"/>
  <c r="AE464" i="5"/>
  <c r="BG338" i="5"/>
  <c r="AD61" i="5"/>
  <c r="BF77" i="5"/>
  <c r="BG77" i="5" s="1"/>
  <c r="AE533" i="5"/>
  <c r="BF204" i="5"/>
  <c r="BH204" i="5" s="1"/>
  <c r="BF439" i="5"/>
  <c r="BG439" i="5" s="1"/>
  <c r="AD117" i="5"/>
  <c r="BF401" i="5"/>
  <c r="BG401" i="5" s="1"/>
  <c r="AE55" i="5"/>
  <c r="BF558" i="5"/>
  <c r="BG558" i="5" s="1"/>
  <c r="AD118" i="5"/>
  <c r="BH413" i="5"/>
  <c r="BG413" i="5"/>
  <c r="AD525" i="5"/>
  <c r="BF525" i="5"/>
  <c r="BG525" i="5" s="1"/>
  <c r="AD257" i="5"/>
  <c r="BF257" i="5"/>
  <c r="BH257" i="5" s="1"/>
  <c r="AE257" i="5"/>
  <c r="BF543" i="5"/>
  <c r="BH543" i="5" s="1"/>
  <c r="AD543" i="5"/>
  <c r="AE47" i="5"/>
  <c r="BF47" i="5"/>
  <c r="BG47" i="5" s="1"/>
  <c r="AD47" i="5"/>
  <c r="AD359" i="5"/>
  <c r="AE359" i="5"/>
  <c r="BF274" i="5"/>
  <c r="AD274" i="5"/>
  <c r="AE274" i="5"/>
  <c r="BF60" i="5"/>
  <c r="AD60" i="5"/>
  <c r="AE60" i="5"/>
  <c r="AE327" i="5"/>
  <c r="AD327" i="5"/>
  <c r="BF327" i="5"/>
  <c r="BH327" i="5" s="1"/>
  <c r="BF136" i="5"/>
  <c r="BH136" i="5" s="1"/>
  <c r="AD136" i="5"/>
  <c r="BF177" i="5"/>
  <c r="AD177" i="5"/>
  <c r="AE177" i="5"/>
  <c r="BF262" i="5"/>
  <c r="AD262" i="5"/>
  <c r="AE262" i="5"/>
  <c r="AD149" i="5"/>
  <c r="BF149" i="5"/>
  <c r="BH149" i="5" s="1"/>
  <c r="AD232" i="5"/>
  <c r="BF232" i="5"/>
  <c r="BH232" i="5" s="1"/>
  <c r="AE356" i="5"/>
  <c r="BF356" i="5"/>
  <c r="BH356" i="5" s="1"/>
  <c r="AD356" i="5"/>
  <c r="AD483" i="5"/>
  <c r="BF483" i="5"/>
  <c r="BG483" i="5" s="1"/>
  <c r="BF329" i="5"/>
  <c r="BG329" i="5" s="1"/>
  <c r="AD329" i="5"/>
  <c r="BF315" i="5"/>
  <c r="BH315" i="5" s="1"/>
  <c r="AD315" i="5"/>
  <c r="BG281" i="5"/>
  <c r="BH281" i="5"/>
  <c r="BF193" i="5"/>
  <c r="BH193" i="5" s="1"/>
  <c r="AD268" i="5"/>
  <c r="AD219" i="5"/>
  <c r="AE543" i="5"/>
  <c r="AE483" i="5"/>
  <c r="AE232" i="5"/>
  <c r="AD75" i="5"/>
  <c r="BF75" i="5"/>
  <c r="BH75" i="5" s="1"/>
  <c r="AD531" i="5"/>
  <c r="BF531" i="5"/>
  <c r="BG531" i="5" s="1"/>
  <c r="BF271" i="5"/>
  <c r="BG271" i="5" s="1"/>
  <c r="AE271" i="5"/>
  <c r="AD271" i="5"/>
  <c r="BF156" i="5"/>
  <c r="AD156" i="5"/>
  <c r="BG188" i="5"/>
  <c r="BH188" i="5"/>
  <c r="AE135" i="5"/>
  <c r="BF135" i="5"/>
  <c r="BG135" i="5" s="1"/>
  <c r="BF362" i="5"/>
  <c r="BG362" i="5" s="1"/>
  <c r="AE362" i="5"/>
  <c r="AD233" i="5"/>
  <c r="BF233" i="5"/>
  <c r="BG233" i="5" s="1"/>
  <c r="AD224" i="5"/>
  <c r="BF224" i="5"/>
  <c r="BG224" i="5" s="1"/>
  <c r="AE413" i="5"/>
  <c r="AD413" i="5"/>
  <c r="AD174" i="5"/>
  <c r="AE174" i="5"/>
  <c r="AE84" i="5"/>
  <c r="BF84" i="5"/>
  <c r="BG84" i="5" s="1"/>
  <c r="AD84" i="5"/>
  <c r="AD48" i="5"/>
  <c r="BF48" i="5"/>
  <c r="BH48" i="5" s="1"/>
  <c r="AD309" i="5"/>
  <c r="AE309" i="5"/>
  <c r="BF309" i="5"/>
  <c r="BG309" i="5" s="1"/>
  <c r="BF20" i="5"/>
  <c r="BH20" i="5" s="1"/>
  <c r="AE20" i="5"/>
  <c r="AE30" i="5"/>
  <c r="BF30" i="5"/>
  <c r="BG30" i="5" s="1"/>
  <c r="AD30" i="5"/>
  <c r="AD270" i="5"/>
  <c r="AE270" i="5"/>
  <c r="BF270" i="5"/>
  <c r="BG270" i="5" s="1"/>
  <c r="AE222" i="5"/>
  <c r="AD222" i="5"/>
  <c r="BF222" i="5"/>
  <c r="BG222" i="5" s="1"/>
  <c r="AE237" i="5"/>
  <c r="BF237" i="5"/>
  <c r="BG237" i="5" s="1"/>
  <c r="AE303" i="5"/>
  <c r="BF303" i="5"/>
  <c r="BH303" i="5" s="1"/>
  <c r="AD303" i="5"/>
  <c r="AE89" i="5"/>
  <c r="BF89" i="5"/>
  <c r="BF441" i="5"/>
  <c r="BG441" i="5" s="1"/>
  <c r="AD441" i="5"/>
  <c r="AD379" i="5"/>
  <c r="AE379" i="5"/>
  <c r="BF153" i="5"/>
  <c r="AE153" i="5"/>
  <c r="AD435" i="5"/>
  <c r="BF435" i="5"/>
  <c r="AE435" i="5"/>
  <c r="BF458" i="5"/>
  <c r="BH458" i="5" s="1"/>
  <c r="AD458" i="5"/>
  <c r="AE452" i="5"/>
  <c r="BF452" i="5"/>
  <c r="BH452" i="5" s="1"/>
  <c r="BF212" i="5"/>
  <c r="BH212" i="5" s="1"/>
  <c r="AD154" i="5"/>
  <c r="AE275" i="5"/>
  <c r="BF359" i="5"/>
  <c r="BH359" i="5" s="1"/>
  <c r="BF244" i="5"/>
  <c r="BG244" i="5" s="1"/>
  <c r="BF39" i="5"/>
  <c r="BG39" i="5" s="1"/>
  <c r="AE136" i="5"/>
  <c r="BF379" i="5"/>
  <c r="BH379" i="5" s="1"/>
  <c r="AD275" i="5"/>
  <c r="AE525" i="5"/>
  <c r="AE343" i="5"/>
  <c r="BF343" i="5"/>
  <c r="BG343" i="5" s="1"/>
  <c r="BF460" i="5"/>
  <c r="BH460" i="5" s="1"/>
  <c r="AD286" i="5"/>
  <c r="AD506" i="5"/>
  <c r="BG109" i="5"/>
  <c r="AE381" i="5"/>
  <c r="AD21" i="5"/>
  <c r="AD380" i="5"/>
  <c r="AD549" i="5"/>
  <c r="BF371" i="5"/>
  <c r="BH371" i="5" s="1"/>
  <c r="AD81" i="5"/>
  <c r="AE341" i="5"/>
  <c r="AD105" i="5"/>
  <c r="AD204" i="5"/>
  <c r="AD477" i="5"/>
  <c r="AE77" i="5"/>
  <c r="AE109" i="5"/>
  <c r="BF198" i="5"/>
  <c r="BG198" i="5" s="1"/>
  <c r="AD198" i="5"/>
  <c r="AE118" i="5"/>
  <c r="BF59" i="5"/>
  <c r="BG59" i="5" s="1"/>
  <c r="BF228" i="5"/>
  <c r="AD145" i="5"/>
  <c r="AE145" i="5"/>
  <c r="BF420" i="5"/>
  <c r="AE420" i="5"/>
  <c r="AD188" i="5"/>
  <c r="AE188" i="5"/>
  <c r="AE403" i="5"/>
  <c r="BF230" i="5"/>
  <c r="BG230" i="5" s="1"/>
  <c r="AE173" i="5"/>
  <c r="AE459" i="5"/>
  <c r="AE480" i="5"/>
  <c r="AD401" i="5"/>
  <c r="AD338" i="5"/>
  <c r="AD109" i="5"/>
  <c r="AE79" i="5"/>
  <c r="BF79" i="5"/>
  <c r="AD539" i="5"/>
  <c r="BF539" i="5"/>
  <c r="AE539" i="5"/>
  <c r="AD444" i="5"/>
  <c r="BF444" i="5"/>
  <c r="AD465" i="5"/>
  <c r="BF465" i="5"/>
  <c r="AE465" i="5"/>
  <c r="BG157" i="5"/>
  <c r="AE519" i="5"/>
  <c r="AE151" i="5"/>
  <c r="AE214" i="5"/>
  <c r="BF87" i="5"/>
  <c r="BH87" i="5" s="1"/>
  <c r="BG147" i="5"/>
  <c r="BH105" i="5"/>
  <c r="BH62" i="5"/>
  <c r="BF431" i="5"/>
  <c r="BH431" i="5" s="1"/>
  <c r="AD50" i="5"/>
  <c r="AD400" i="5"/>
  <c r="BF86" i="5"/>
  <c r="AE141" i="5"/>
  <c r="AE121" i="5"/>
  <c r="BF74" i="5"/>
  <c r="BG74" i="5" s="1"/>
  <c r="AE260" i="5"/>
  <c r="BF195" i="5"/>
  <c r="BH195" i="5" s="1"/>
  <c r="AE62" i="5"/>
  <c r="AE164" i="5"/>
  <c r="AD399" i="5"/>
  <c r="AD215" i="5"/>
  <c r="BF513" i="5"/>
  <c r="BH513" i="5" s="1"/>
  <c r="AD183" i="5"/>
  <c r="AD129" i="5"/>
  <c r="AE105" i="5"/>
  <c r="BF374" i="5"/>
  <c r="BH374" i="5" s="1"/>
  <c r="AE265" i="5"/>
  <c r="AD93" i="5"/>
  <c r="BG141" i="5"/>
  <c r="BF185" i="5"/>
  <c r="BH185" i="5" s="1"/>
  <c r="BF180" i="5"/>
  <c r="BG180" i="5" s="1"/>
  <c r="AD151" i="5"/>
  <c r="AE264" i="5"/>
  <c r="AE317" i="5"/>
  <c r="AE187" i="5"/>
  <c r="AE286" i="5"/>
  <c r="AD357" i="5"/>
  <c r="AD517" i="5"/>
  <c r="BF93" i="5"/>
  <c r="BG93" i="5" s="1"/>
  <c r="AE138" i="5"/>
  <c r="AD277" i="5"/>
  <c r="AE267" i="5"/>
  <c r="AD192" i="5"/>
  <c r="AD62" i="5"/>
  <c r="BF42" i="5"/>
  <c r="BH42" i="5" s="1"/>
  <c r="AD41" i="5"/>
  <c r="AD260" i="5"/>
  <c r="BF129" i="5"/>
  <c r="BH129" i="5" s="1"/>
  <c r="AE86" i="5"/>
  <c r="AD374" i="5"/>
  <c r="AD201" i="5"/>
  <c r="AD112" i="5"/>
  <c r="AE216" i="5"/>
  <c r="BF453" i="5"/>
  <c r="BG453" i="5" s="1"/>
  <c r="AE147" i="5"/>
  <c r="BH54" i="5"/>
  <c r="BG54" i="5"/>
  <c r="BG100" i="5"/>
  <c r="BH100" i="5"/>
  <c r="BG162" i="5"/>
  <c r="BH162" i="5"/>
  <c r="BH213" i="5"/>
  <c r="BG213" i="5"/>
  <c r="BF143" i="5"/>
  <c r="BG143" i="5" s="1"/>
  <c r="AD113" i="5"/>
  <c r="BF432" i="5"/>
  <c r="BG432" i="5" s="1"/>
  <c r="BF387" i="5"/>
  <c r="BG387" i="5" s="1"/>
  <c r="AE392" i="5"/>
  <c r="AD317" i="5"/>
  <c r="AD267" i="5"/>
  <c r="BH33" i="5"/>
  <c r="AE344" i="5"/>
  <c r="BF106" i="5"/>
  <c r="BH106" i="5" s="1"/>
  <c r="BF469" i="5"/>
  <c r="BG469" i="5" s="1"/>
  <c r="BF511" i="5"/>
  <c r="BG511" i="5" s="1"/>
  <c r="AD425" i="5"/>
  <c r="BF172" i="5"/>
  <c r="BG172" i="5" s="1"/>
  <c r="BF55" i="5"/>
  <c r="BG55" i="5" s="1"/>
  <c r="BF139" i="5"/>
  <c r="BG139" i="5" s="1"/>
  <c r="AE293" i="5"/>
  <c r="BF306" i="5"/>
  <c r="BH306" i="5" s="1"/>
  <c r="AD263" i="5"/>
  <c r="AD319" i="5"/>
  <c r="BF121" i="5"/>
  <c r="BG121" i="5" s="1"/>
  <c r="AE24" i="5"/>
  <c r="BF225" i="5"/>
  <c r="BG225" i="5" s="1"/>
  <c r="AE319" i="5"/>
  <c r="AD453" i="5"/>
  <c r="AE33" i="5"/>
  <c r="BF236" i="5"/>
  <c r="BH236" i="5" s="1"/>
  <c r="BF167" i="5"/>
  <c r="AD162" i="5"/>
  <c r="AE162" i="5"/>
  <c r="BF312" i="5"/>
  <c r="AD312" i="5"/>
  <c r="AD210" i="5"/>
  <c r="BF210" i="5"/>
  <c r="AE210" i="5"/>
  <c r="BF31" i="5"/>
  <c r="AE31" i="5"/>
  <c r="AD31" i="5"/>
  <c r="BF23" i="5"/>
  <c r="AD23" i="5"/>
  <c r="BF246" i="5"/>
  <c r="AE246" i="5"/>
  <c r="AD246" i="5"/>
  <c r="BF383" i="5"/>
  <c r="BH383" i="5" s="1"/>
  <c r="BF277" i="5"/>
  <c r="BG277" i="5" s="1"/>
  <c r="AD37" i="5"/>
  <c r="BH528" i="5"/>
  <c r="BF205" i="5"/>
  <c r="BH205" i="5" s="1"/>
  <c r="AE211" i="5"/>
  <c r="BF138" i="5"/>
  <c r="BG138" i="5" s="1"/>
  <c r="BF264" i="5"/>
  <c r="BH264" i="5" s="1"/>
  <c r="BF293" i="5"/>
  <c r="AD236" i="5"/>
  <c r="AE167" i="5"/>
  <c r="AE104" i="5"/>
  <c r="AD104" i="5"/>
  <c r="BF104" i="5"/>
  <c r="BF423" i="5"/>
  <c r="AE423" i="5"/>
  <c r="AD348" i="5"/>
  <c r="AE348" i="5"/>
  <c r="BF348" i="5"/>
  <c r="BF211" i="5"/>
  <c r="BG211" i="5" s="1"/>
  <c r="AE322" i="5"/>
  <c r="BG319" i="5"/>
  <c r="BF196" i="5"/>
  <c r="BH196" i="5" s="1"/>
  <c r="AD383" i="5"/>
  <c r="BF322" i="5"/>
  <c r="BG322" i="5" s="1"/>
  <c r="AD432" i="5"/>
  <c r="AE217" i="5"/>
  <c r="AE106" i="5"/>
  <c r="AE511" i="5"/>
  <c r="BG305" i="5"/>
  <c r="AD528" i="5"/>
  <c r="AE242" i="5"/>
  <c r="AD216" i="5"/>
  <c r="BH422" i="5"/>
  <c r="BF545" i="5"/>
  <c r="BG545" i="5" s="1"/>
  <c r="AD217" i="5"/>
  <c r="BF112" i="5"/>
  <c r="BG112" i="5" s="1"/>
  <c r="AD234" i="5"/>
  <c r="AE528" i="5"/>
  <c r="AE120" i="5"/>
  <c r="AE234" i="5"/>
  <c r="BF120" i="5"/>
  <c r="BG120" i="5" s="1"/>
  <c r="AD67" i="5"/>
  <c r="BF208" i="5"/>
  <c r="BG208" i="5" s="1"/>
  <c r="AD306" i="5"/>
  <c r="BF67" i="5"/>
  <c r="BH67" i="5" s="1"/>
  <c r="AD172" i="5"/>
  <c r="AE117" i="5"/>
  <c r="BF358" i="5"/>
  <c r="AD294" i="5"/>
  <c r="AE224" i="5"/>
  <c r="BF26" i="5"/>
  <c r="AD26" i="5"/>
  <c r="AD415" i="5"/>
  <c r="BF415" i="5"/>
  <c r="AE527" i="5"/>
  <c r="BF527" i="5"/>
  <c r="AD527" i="5"/>
  <c r="BF535" i="5"/>
  <c r="AE535" i="5"/>
  <c r="BH252" i="5"/>
  <c r="BG252" i="5"/>
  <c r="AE245" i="5"/>
  <c r="AD245" i="5"/>
  <c r="BH451" i="5"/>
  <c r="AD502" i="5"/>
  <c r="AE75" i="5"/>
  <c r="AD343" i="5"/>
  <c r="AE143" i="5"/>
  <c r="BF314" i="5"/>
  <c r="BG314" i="5" s="1"/>
  <c r="AD82" i="5"/>
  <c r="BF158" i="5"/>
  <c r="BG158" i="5" s="1"/>
  <c r="AD135" i="5"/>
  <c r="BF552" i="5"/>
  <c r="BH552" i="5" s="1"/>
  <c r="AE502" i="5"/>
  <c r="AE419" i="5"/>
  <c r="BF261" i="5"/>
  <c r="BH261" i="5" s="1"/>
  <c r="BH179" i="5"/>
  <c r="AE517" i="5"/>
  <c r="BF519" i="5"/>
  <c r="BG519" i="5" s="1"/>
  <c r="AD244" i="5"/>
  <c r="AD194" i="5"/>
  <c r="BF297" i="5"/>
  <c r="BG297" i="5" s="1"/>
  <c r="AD230" i="5"/>
  <c r="BG215" i="5"/>
  <c r="BF82" i="5"/>
  <c r="BH82" i="5" s="1"/>
  <c r="AE545" i="5"/>
  <c r="AE166" i="5"/>
  <c r="AD371" i="5"/>
  <c r="AE192" i="5"/>
  <c r="AD173" i="5"/>
  <c r="BH214" i="5"/>
  <c r="BG183" i="5"/>
  <c r="BH51" i="5"/>
  <c r="BG311" i="5"/>
  <c r="AD513" i="5"/>
  <c r="AD362" i="5"/>
  <c r="BF119" i="5"/>
  <c r="BH119" i="5" s="1"/>
  <c r="AE114" i="5"/>
  <c r="BF400" i="5"/>
  <c r="AE225" i="5"/>
  <c r="BF73" i="5"/>
  <c r="AE299" i="5"/>
  <c r="BF287" i="5"/>
  <c r="BG287" i="5" s="1"/>
  <c r="AD179" i="5"/>
  <c r="AD214" i="5"/>
  <c r="AE156" i="5"/>
  <c r="AE429" i="5"/>
  <c r="AE522" i="5"/>
  <c r="AE305" i="5"/>
  <c r="AE215" i="5"/>
  <c r="BF164" i="5"/>
  <c r="BG164" i="5" s="1"/>
  <c r="BF245" i="5"/>
  <c r="BH245" i="5" s="1"/>
  <c r="AD295" i="5"/>
  <c r="AE295" i="5"/>
  <c r="BF295" i="5"/>
  <c r="AD199" i="5"/>
  <c r="BF199" i="5"/>
  <c r="AE199" i="5"/>
  <c r="AE284" i="5"/>
  <c r="AD284" i="5"/>
  <c r="BF284" i="5"/>
  <c r="BF168" i="5"/>
  <c r="AE168" i="5"/>
  <c r="AD168" i="5"/>
  <c r="BF419" i="5"/>
  <c r="BH419" i="5" s="1"/>
  <c r="AD261" i="5"/>
  <c r="AE126" i="5"/>
  <c r="BF36" i="5"/>
  <c r="BG36" i="5" s="1"/>
  <c r="BF114" i="5"/>
  <c r="BG114" i="5" s="1"/>
  <c r="AE316" i="5"/>
  <c r="AE68" i="5"/>
  <c r="BF68" i="5"/>
  <c r="BF459" i="5"/>
  <c r="BG459" i="5" s="1"/>
  <c r="AE51" i="5"/>
  <c r="BF291" i="5"/>
  <c r="BG291" i="5" s="1"/>
  <c r="AD291" i="5"/>
  <c r="BF240" i="5"/>
  <c r="BH240" i="5" s="1"/>
  <c r="AD73" i="5"/>
  <c r="AE133" i="5"/>
  <c r="AE240" i="5"/>
  <c r="AD157" i="5"/>
  <c r="AD311" i="5"/>
  <c r="AE157" i="5"/>
  <c r="AE183" i="5"/>
  <c r="AD147" i="5"/>
  <c r="AD54" i="5"/>
  <c r="AE54" i="5"/>
  <c r="AE100" i="5"/>
  <c r="AD100" i="5"/>
  <c r="AD285" i="5"/>
  <c r="AE285" i="5"/>
  <c r="AD474" i="5"/>
  <c r="BF474" i="5"/>
  <c r="AE474" i="5"/>
  <c r="BF292" i="5"/>
  <c r="BH292" i="5" s="1"/>
  <c r="BF187" i="5"/>
  <c r="BG187" i="5" s="1"/>
  <c r="AD125" i="5"/>
  <c r="AD304" i="5"/>
  <c r="AE74" i="5"/>
  <c r="AE171" i="5"/>
  <c r="BF285" i="5"/>
  <c r="AD40" i="5"/>
  <c r="AE40" i="5"/>
  <c r="BF40" i="5"/>
  <c r="AE213" i="5"/>
  <c r="AD213" i="5"/>
  <c r="AE28" i="5"/>
  <c r="BF28" i="5"/>
  <c r="AD28" i="5"/>
  <c r="BF170" i="5"/>
  <c r="AE170" i="5"/>
  <c r="AE124" i="5"/>
  <c r="BH145" i="5"/>
  <c r="AD80" i="5"/>
  <c r="AD171" i="5"/>
  <c r="AE531" i="5"/>
  <c r="AD369" i="5"/>
  <c r="AE165" i="5"/>
  <c r="AD252" i="5"/>
  <c r="AE252" i="5"/>
  <c r="AE518" i="5"/>
  <c r="BF518" i="5"/>
  <c r="BF124" i="5"/>
  <c r="BG124" i="5" s="1"/>
  <c r="AE387" i="5"/>
  <c r="BF304" i="5"/>
  <c r="BG304" i="5" s="1"/>
  <c r="BG171" i="5"/>
  <c r="BF80" i="5"/>
  <c r="AD170" i="5"/>
  <c r="BF165" i="5"/>
  <c r="AD518" i="5"/>
  <c r="AD305" i="5"/>
  <c r="AE333" i="5"/>
  <c r="BF369" i="5"/>
  <c r="BH369" i="5" s="1"/>
  <c r="AE529" i="5"/>
  <c r="BF529" i="5"/>
  <c r="AD529" i="5"/>
  <c r="AE254" i="5"/>
  <c r="BF254" i="5"/>
  <c r="AD123" i="5"/>
  <c r="BF123" i="5"/>
  <c r="AD346" i="5"/>
  <c r="AE346" i="5"/>
  <c r="BF346" i="5"/>
  <c r="AD398" i="5"/>
  <c r="AE398" i="5"/>
  <c r="BF398" i="5"/>
  <c r="BF386" i="5"/>
  <c r="AE386" i="5"/>
  <c r="AD386" i="5"/>
  <c r="AD56" i="5"/>
  <c r="BF56" i="5"/>
  <c r="BF91" i="5"/>
  <c r="BG91" i="5" s="1"/>
  <c r="BG339" i="5"/>
  <c r="AD184" i="5"/>
  <c r="AD155" i="5"/>
  <c r="BF155" i="5"/>
  <c r="AE352" i="5"/>
  <c r="AD352" i="5"/>
  <c r="AE544" i="5"/>
  <c r="BF544" i="5"/>
  <c r="AD544" i="5"/>
  <c r="AD221" i="5"/>
  <c r="BF166" i="5"/>
  <c r="BG166" i="5" s="1"/>
  <c r="BF437" i="5"/>
  <c r="BG437" i="5" s="1"/>
  <c r="AE32" i="5"/>
  <c r="AE184" i="5"/>
  <c r="AE119" i="5"/>
  <c r="BF242" i="5"/>
  <c r="BG242" i="5" s="1"/>
  <c r="AE140" i="5"/>
  <c r="AE155" i="5"/>
  <c r="AE451" i="5"/>
  <c r="AD407" i="5"/>
  <c r="BF263" i="5"/>
  <c r="BG263" i="5" s="1"/>
  <c r="AD299" i="5"/>
  <c r="AD361" i="5"/>
  <c r="BF361" i="5"/>
  <c r="BH361" i="5" s="1"/>
  <c r="BF181" i="5"/>
  <c r="AD181" i="5"/>
  <c r="AE181" i="5"/>
  <c r="AD101" i="5"/>
  <c r="BF101" i="5"/>
  <c r="BF122" i="5"/>
  <c r="AD122" i="5"/>
  <c r="AE122" i="5"/>
  <c r="BF503" i="5"/>
  <c r="AE503" i="5"/>
  <c r="AD503" i="5"/>
  <c r="AD63" i="5"/>
  <c r="BF221" i="5"/>
  <c r="BG221" i="5" s="1"/>
  <c r="AD280" i="5"/>
  <c r="AE404" i="5"/>
  <c r="AE123" i="5"/>
  <c r="AD451" i="5"/>
  <c r="BF316" i="5"/>
  <c r="BG316" i="5" s="1"/>
  <c r="BF407" i="5"/>
  <c r="BF140" i="5"/>
  <c r="BG140" i="5" s="1"/>
  <c r="BF24" i="5"/>
  <c r="BG24" i="5" s="1"/>
  <c r="BF133" i="5"/>
  <c r="BG133" i="5" s="1"/>
  <c r="AE311" i="5"/>
  <c r="AE476" i="5"/>
  <c r="BF476" i="5"/>
  <c r="BF243" i="5"/>
  <c r="AD243" i="5"/>
  <c r="AE243" i="5"/>
  <c r="BG352" i="5"/>
  <c r="AD98" i="5"/>
  <c r="BF98" i="5"/>
  <c r="AE98" i="5"/>
  <c r="AE302" i="5"/>
  <c r="AE91" i="5"/>
  <c r="AD32" i="5"/>
  <c r="BF404" i="5"/>
  <c r="BG404" i="5" s="1"/>
  <c r="BF176" i="5"/>
  <c r="AD176" i="5"/>
  <c r="AE176" i="5"/>
  <c r="AE63" i="5"/>
  <c r="BF302" i="5"/>
  <c r="BG302" i="5" s="1"/>
  <c r="AE307" i="5"/>
  <c r="AD307" i="5"/>
  <c r="BF307" i="5"/>
  <c r="BG160" i="5"/>
  <c r="BH160" i="5"/>
  <c r="BH389" i="5"/>
  <c r="BG389" i="5"/>
  <c r="BH57" i="5"/>
  <c r="BG57" i="5"/>
  <c r="BH433" i="5"/>
  <c r="BG433" i="5"/>
  <c r="BH506" i="5"/>
  <c r="BG506" i="5"/>
  <c r="BH301" i="5"/>
  <c r="BG301" i="5"/>
  <c r="BG70" i="5"/>
  <c r="BH70" i="5"/>
  <c r="BG63" i="5"/>
  <c r="BH63" i="5"/>
  <c r="BH475" i="5"/>
  <c r="BG475" i="5"/>
  <c r="BH258" i="5"/>
  <c r="BG258" i="5"/>
  <c r="BG126" i="5"/>
  <c r="BH126" i="5"/>
  <c r="BH142" i="5"/>
  <c r="BG142" i="5"/>
  <c r="BG78" i="5"/>
  <c r="BH78" i="5"/>
  <c r="BG317" i="5"/>
  <c r="BH317" i="5"/>
  <c r="BH283" i="5"/>
  <c r="BG283" i="5"/>
  <c r="BH280" i="5"/>
  <c r="BG280" i="5"/>
  <c r="BH538" i="5"/>
  <c r="BG538" i="5"/>
  <c r="BH353" i="5"/>
  <c r="BG353" i="5"/>
  <c r="BG49" i="5"/>
  <c r="BH49" i="5"/>
  <c r="BH202" i="5"/>
  <c r="BG202" i="5"/>
  <c r="BG27" i="5"/>
  <c r="BH27" i="5"/>
  <c r="BG557" i="5"/>
  <c r="BH557" i="5"/>
  <c r="BH267" i="5"/>
  <c r="BG267" i="5"/>
  <c r="BH357" i="5"/>
  <c r="BG357" i="5"/>
  <c r="BG479" i="5"/>
  <c r="BH479" i="5"/>
  <c r="BG113" i="5"/>
  <c r="BH113" i="5"/>
  <c r="BH256" i="5"/>
  <c r="BG256" i="5"/>
  <c r="BH231" i="5"/>
  <c r="BG231" i="5"/>
  <c r="BG366" i="5"/>
  <c r="BH366" i="5"/>
  <c r="BH344" i="5"/>
  <c r="BG344" i="5"/>
  <c r="BH217" i="5"/>
  <c r="BG217" i="5"/>
  <c r="BG192" i="5"/>
  <c r="BH192" i="5"/>
  <c r="BH173" i="5"/>
  <c r="BG173" i="5"/>
  <c r="BH116" i="5"/>
  <c r="BG116" i="5"/>
  <c r="BH364" i="5"/>
  <c r="BG364" i="5"/>
  <c r="BH393" i="5"/>
  <c r="BG393" i="5"/>
  <c r="BH502" i="5"/>
  <c r="BG502" i="5"/>
  <c r="BG446" i="5"/>
  <c r="BH446" i="5"/>
  <c r="BH448" i="5"/>
  <c r="BG448" i="5"/>
  <c r="BG392" i="5"/>
  <c r="BH392" i="5"/>
  <c r="BG238" i="5"/>
  <c r="BH238" i="5"/>
  <c r="BG286" i="5"/>
  <c r="BH286" i="5"/>
  <c r="BG206" i="5"/>
  <c r="BH206" i="5"/>
  <c r="BH517" i="5"/>
  <c r="BG517" i="5"/>
  <c r="BG337" i="5"/>
  <c r="BH337" i="5"/>
  <c r="BG248" i="5"/>
  <c r="BH248" i="5"/>
  <c r="BG247" i="5"/>
  <c r="BH247" i="5"/>
  <c r="BG332" i="5"/>
  <c r="BH332" i="5"/>
  <c r="BG408" i="5"/>
  <c r="BH408" i="5"/>
  <c r="BH151" i="5"/>
  <c r="BG151" i="5"/>
  <c r="BH510" i="5"/>
  <c r="BG510" i="5"/>
  <c r="BH21" i="5"/>
  <c r="BG21" i="5"/>
  <c r="BH200" i="5"/>
  <c r="BG200" i="5"/>
  <c r="BG290" i="5"/>
  <c r="BH290" i="5"/>
  <c r="BG32" i="5"/>
  <c r="BH32" i="5"/>
  <c r="BG275" i="5"/>
  <c r="BH275" i="5"/>
  <c r="BH508" i="5"/>
  <c r="BG508" i="5"/>
  <c r="BH365" i="5"/>
  <c r="BG365" i="5"/>
  <c r="BH184" i="5"/>
  <c r="BG184" i="5"/>
  <c r="BJ498" i="5" l="1"/>
  <c r="BK58" i="5"/>
  <c r="BK558" i="5"/>
  <c r="BK375" i="5"/>
  <c r="BK301" i="5"/>
  <c r="BJ503" i="5"/>
  <c r="BJ121" i="5"/>
  <c r="BJ545" i="5"/>
  <c r="BK166" i="5"/>
  <c r="BK206" i="5"/>
  <c r="BK246" i="5"/>
  <c r="BJ311" i="5"/>
  <c r="BK75" i="5"/>
  <c r="BJ124" i="5"/>
  <c r="BJ308" i="5"/>
  <c r="BL308" i="5" s="1"/>
  <c r="BK262" i="5"/>
  <c r="BJ315" i="5"/>
  <c r="BJ471" i="5"/>
  <c r="BL471" i="5" s="1"/>
  <c r="BK437" i="5"/>
  <c r="BK169" i="5"/>
  <c r="BK237" i="5"/>
  <c r="BK202" i="5"/>
  <c r="BK50" i="5"/>
  <c r="BJ389" i="5"/>
  <c r="BJ523" i="5"/>
  <c r="BK401" i="5"/>
  <c r="BJ378" i="5"/>
  <c r="BK327" i="5"/>
  <c r="BK421" i="5"/>
  <c r="BJ429" i="5"/>
  <c r="BK457" i="5"/>
  <c r="BK548" i="5"/>
  <c r="BK105" i="5"/>
  <c r="BK23" i="5"/>
  <c r="BK131" i="5"/>
  <c r="BJ151" i="5"/>
  <c r="BK24" i="5"/>
  <c r="BK249" i="5"/>
  <c r="BK281" i="5"/>
  <c r="BK305" i="5"/>
  <c r="BM305" i="5" s="1"/>
  <c r="BK462" i="5"/>
  <c r="BK321" i="5"/>
  <c r="BK261" i="5"/>
  <c r="BJ431" i="5"/>
  <c r="BK44" i="5"/>
  <c r="BK142" i="5"/>
  <c r="BJ433" i="5"/>
  <c r="BJ465" i="5"/>
  <c r="BK296" i="5"/>
  <c r="BK537" i="5"/>
  <c r="BK146" i="5"/>
  <c r="BJ168" i="5"/>
  <c r="BE11" i="5"/>
  <c r="BJ160" i="5"/>
  <c r="BK328" i="5"/>
  <c r="BJ377" i="5"/>
  <c r="BK54" i="5"/>
  <c r="AD11" i="5"/>
  <c r="BJ144" i="5"/>
  <c r="BK319" i="5"/>
  <c r="BM319" i="5" s="1"/>
  <c r="BK532" i="5"/>
  <c r="BF11" i="5"/>
  <c r="BH11" i="5" s="1"/>
  <c r="BK236" i="5"/>
  <c r="BJ73" i="5"/>
  <c r="BJ543" i="5"/>
  <c r="BK369" i="5"/>
  <c r="BK198" i="5"/>
  <c r="BK257" i="5"/>
  <c r="BK370" i="5"/>
  <c r="BK381" i="5"/>
  <c r="BK194" i="5"/>
  <c r="BK231" i="5"/>
  <c r="BK553" i="5"/>
  <c r="BK33" i="5"/>
  <c r="BJ161" i="5"/>
  <c r="BK501" i="5"/>
  <c r="BM501" i="5" s="1"/>
  <c r="BJ211" i="5"/>
  <c r="BK422" i="5"/>
  <c r="BJ423" i="5"/>
  <c r="BK483" i="5"/>
  <c r="BK117" i="5"/>
  <c r="BM117" i="5" s="1"/>
  <c r="BK263" i="5"/>
  <c r="BJ182" i="5"/>
  <c r="BL182" i="5" s="1"/>
  <c r="BK302" i="5"/>
  <c r="BK297" i="5"/>
  <c r="BJ519" i="5"/>
  <c r="BK550" i="5"/>
  <c r="BM550" i="5" s="1"/>
  <c r="BK489" i="5"/>
  <c r="BM489" i="5" s="1"/>
  <c r="BK521" i="5"/>
  <c r="BJ417" i="5"/>
  <c r="AC139" i="4"/>
  <c r="AD139" i="4" s="1"/>
  <c r="BJ187" i="5"/>
  <c r="BJ464" i="5"/>
  <c r="BK453" i="5"/>
  <c r="BK529" i="5"/>
  <c r="BJ415" i="5"/>
  <c r="BK214" i="5"/>
  <c r="BJ251" i="5"/>
  <c r="BK119" i="5"/>
  <c r="AK109" i="4"/>
  <c r="BK70" i="5"/>
  <c r="BJ132" i="5"/>
  <c r="AK153" i="4"/>
  <c r="BK115" i="5"/>
  <c r="BJ216" i="5"/>
  <c r="BL216" i="5" s="1"/>
  <c r="BK418" i="5"/>
  <c r="BJ507" i="5"/>
  <c r="BK484" i="5"/>
  <c r="AQ11" i="5"/>
  <c r="BK406" i="5"/>
  <c r="BK432" i="5"/>
  <c r="BK398" i="5"/>
  <c r="BK393" i="5"/>
  <c r="BH496" i="5"/>
  <c r="BM496" i="5" s="1"/>
  <c r="BI11" i="5"/>
  <c r="BJ11" i="5" s="1"/>
  <c r="BK405" i="5"/>
  <c r="BK122" i="5"/>
  <c r="BJ487" i="5"/>
  <c r="BJ176" i="5"/>
  <c r="BK486" i="5"/>
  <c r="BK426" i="5"/>
  <c r="BK86" i="5"/>
  <c r="BK94" i="5"/>
  <c r="BJ264" i="5"/>
  <c r="BJ419" i="5"/>
  <c r="BK345" i="5"/>
  <c r="BJ245" i="5"/>
  <c r="BK153" i="5"/>
  <c r="BK470" i="5"/>
  <c r="AC72" i="4"/>
  <c r="AD72" i="4" s="1"/>
  <c r="BK452" i="5"/>
  <c r="AK117" i="4"/>
  <c r="BJ271" i="5"/>
  <c r="AF107" i="4"/>
  <c r="AO107" i="4" s="1"/>
  <c r="AA88" i="4"/>
  <c r="AC88" i="4" s="1"/>
  <c r="AD88" i="4" s="1"/>
  <c r="AA59" i="4"/>
  <c r="AC59" i="4" s="1"/>
  <c r="AD59" i="4" s="1"/>
  <c r="AF131" i="4"/>
  <c r="AO131" i="4" s="1"/>
  <c r="AA84" i="4"/>
  <c r="AF84" i="4" s="1"/>
  <c r="AO84" i="4" s="1"/>
  <c r="AA83" i="4"/>
  <c r="AK102" i="4"/>
  <c r="AK124" i="4"/>
  <c r="AK118" i="4"/>
  <c r="AA75" i="4"/>
  <c r="AF75" i="4" s="1"/>
  <c r="AA62" i="4"/>
  <c r="AC62" i="4" s="1"/>
  <c r="AD62" i="4" s="1"/>
  <c r="AA57" i="4"/>
  <c r="AF57" i="4" s="1"/>
  <c r="AK113" i="4"/>
  <c r="AA54" i="4"/>
  <c r="AF54" i="4" s="1"/>
  <c r="AK147" i="4"/>
  <c r="AA52" i="4"/>
  <c r="AC52" i="4" s="1"/>
  <c r="AD52" i="4" s="1"/>
  <c r="AA51" i="4"/>
  <c r="AF51" i="4" s="1"/>
  <c r="AA50" i="4"/>
  <c r="AC50" i="4" s="1"/>
  <c r="AD50" i="4" s="1"/>
  <c r="AA49" i="4"/>
  <c r="AC49" i="4" s="1"/>
  <c r="AD49" i="4" s="1"/>
  <c r="AF121" i="4"/>
  <c r="AO121" i="4" s="1"/>
  <c r="AC121" i="4"/>
  <c r="AD121" i="4" s="1"/>
  <c r="AF148" i="4"/>
  <c r="AG148" i="4" s="1"/>
  <c r="AI148" i="4" s="1"/>
  <c r="AC148" i="4"/>
  <c r="AD148" i="4" s="1"/>
  <c r="AC117" i="4"/>
  <c r="AD117" i="4" s="1"/>
  <c r="AF117" i="4"/>
  <c r="AO117" i="4" s="1"/>
  <c r="AF129" i="4"/>
  <c r="AO129" i="4" s="1"/>
  <c r="AC129" i="4"/>
  <c r="AD129" i="4" s="1"/>
  <c r="AF118" i="4"/>
  <c r="AO118" i="4" s="1"/>
  <c r="AC118" i="4"/>
  <c r="AD118" i="4" s="1"/>
  <c r="AF109" i="4"/>
  <c r="AG109" i="4" s="1"/>
  <c r="AI109" i="4" s="1"/>
  <c r="AC109" i="4"/>
  <c r="AD109" i="4" s="1"/>
  <c r="AF97" i="4"/>
  <c r="AO97" i="4" s="1"/>
  <c r="AC97" i="4"/>
  <c r="AD97" i="4" s="1"/>
  <c r="AF137" i="4"/>
  <c r="AO137" i="4" s="1"/>
  <c r="AC137" i="4"/>
  <c r="AD137" i="4" s="1"/>
  <c r="AF116" i="4"/>
  <c r="AG116" i="4" s="1"/>
  <c r="AI116" i="4" s="1"/>
  <c r="AC116" i="4"/>
  <c r="AD116" i="4" s="1"/>
  <c r="AC147" i="4"/>
  <c r="AD147" i="4" s="1"/>
  <c r="AF147" i="4"/>
  <c r="AO147" i="4" s="1"/>
  <c r="AF113" i="4"/>
  <c r="AO113" i="4" s="1"/>
  <c r="AC113" i="4"/>
  <c r="AD113" i="4" s="1"/>
  <c r="AC133" i="4"/>
  <c r="AD133" i="4" s="1"/>
  <c r="AF133" i="4"/>
  <c r="AO133" i="4" s="1"/>
  <c r="AF145" i="4"/>
  <c r="AO145" i="4" s="1"/>
  <c r="AC145" i="4"/>
  <c r="AD145" i="4" s="1"/>
  <c r="AC136" i="4"/>
  <c r="AD136" i="4" s="1"/>
  <c r="AF136" i="4"/>
  <c r="AG136" i="4" s="1"/>
  <c r="AI136" i="4" s="1"/>
  <c r="AF153" i="4"/>
  <c r="AO153" i="4" s="1"/>
  <c r="AC153" i="4"/>
  <c r="AD153" i="4" s="1"/>
  <c r="AC124" i="4"/>
  <c r="AD124" i="4" s="1"/>
  <c r="AF124" i="4"/>
  <c r="AG124" i="4" s="1"/>
  <c r="AI124" i="4" s="1"/>
  <c r="AF144" i="4"/>
  <c r="AO144" i="4" s="1"/>
  <c r="AC144" i="4"/>
  <c r="AD144" i="4" s="1"/>
  <c r="AA106" i="4"/>
  <c r="AA86" i="4"/>
  <c r="AA150" i="4"/>
  <c r="AC150" i="4" s="1"/>
  <c r="AD150" i="4" s="1"/>
  <c r="AA102" i="4"/>
  <c r="AA125" i="4"/>
  <c r="X74" i="4"/>
  <c r="AA74" i="4" s="1"/>
  <c r="AA65" i="4"/>
  <c r="AA99" i="4"/>
  <c r="AF99" i="4" s="1"/>
  <c r="AO99" i="4" s="1"/>
  <c r="AA114" i="4"/>
  <c r="AF114" i="4" s="1"/>
  <c r="AO114" i="4" s="1"/>
  <c r="X81" i="4"/>
  <c r="AA81" i="4" s="1"/>
  <c r="AA92" i="4"/>
  <c r="AA60" i="4"/>
  <c r="AA105" i="4"/>
  <c r="AA67" i="4"/>
  <c r="AA156" i="4"/>
  <c r="AF156" i="4" s="1"/>
  <c r="X89" i="4"/>
  <c r="AK89" i="4" s="1"/>
  <c r="AA146" i="4"/>
  <c r="AC146" i="4" s="1"/>
  <c r="AD146" i="4" s="1"/>
  <c r="AA123" i="4"/>
  <c r="B198" i="2"/>
  <c r="B232" i="2" s="1"/>
  <c r="AA82" i="4"/>
  <c r="AF82" i="4" s="1"/>
  <c r="AA155" i="4"/>
  <c r="X112" i="4"/>
  <c r="AA112" i="4" s="1"/>
  <c r="AA104" i="4"/>
  <c r="AA73" i="4"/>
  <c r="AK137" i="4"/>
  <c r="AK67" i="4"/>
  <c r="AK84" i="4"/>
  <c r="AA29" i="4"/>
  <c r="AF154" i="4"/>
  <c r="AG154" i="4" s="1"/>
  <c r="AI154" i="4" s="1"/>
  <c r="AK88" i="4"/>
  <c r="AK45" i="4"/>
  <c r="AK129" i="4"/>
  <c r="AC94" i="4"/>
  <c r="AD94" i="4" s="1"/>
  <c r="AK49" i="4"/>
  <c r="AK41" i="4"/>
  <c r="AK133" i="4"/>
  <c r="AK121" i="4"/>
  <c r="AK34" i="4"/>
  <c r="AA25" i="4"/>
  <c r="X48" i="4"/>
  <c r="AK48" i="4" s="1"/>
  <c r="AC45" i="4"/>
  <c r="AD45" i="4" s="1"/>
  <c r="AF45" i="4"/>
  <c r="AO45" i="4" s="1"/>
  <c r="AK75" i="4"/>
  <c r="AA42" i="4"/>
  <c r="AF42" i="4" s="1"/>
  <c r="X43" i="4"/>
  <c r="AA43" i="4" s="1"/>
  <c r="AK144" i="4"/>
  <c r="AA41" i="4"/>
  <c r="AC41" i="4" s="1"/>
  <c r="AD41" i="4" s="1"/>
  <c r="AK116" i="4"/>
  <c r="AA24" i="4"/>
  <c r="AK125" i="4"/>
  <c r="AK62" i="4"/>
  <c r="AA37" i="4"/>
  <c r="AF37" i="4" s="1"/>
  <c r="AA35" i="4"/>
  <c r="AC35" i="4" s="1"/>
  <c r="AD35" i="4" s="1"/>
  <c r="AA36" i="4"/>
  <c r="AC34" i="4"/>
  <c r="AD34" i="4" s="1"/>
  <c r="AF34" i="4"/>
  <c r="AO34" i="4" s="1"/>
  <c r="AA13" i="4"/>
  <c r="AC13" i="4" s="1"/>
  <c r="AD13" i="4" s="1"/>
  <c r="AA33" i="4"/>
  <c r="AA31" i="4"/>
  <c r="AA30" i="4"/>
  <c r="AA26" i="4"/>
  <c r="AC26" i="4" s="1"/>
  <c r="AD26" i="4" s="1"/>
  <c r="AA28" i="4"/>
  <c r="AF28" i="4" s="1"/>
  <c r="AA27" i="4"/>
  <c r="AF27" i="4" s="1"/>
  <c r="AK145" i="4"/>
  <c r="AK148" i="4"/>
  <c r="AK105" i="4"/>
  <c r="AF14" i="4"/>
  <c r="AG14" i="4" s="1"/>
  <c r="AI14" i="4" s="1"/>
  <c r="AK97" i="4"/>
  <c r="AK11" i="4"/>
  <c r="AA15" i="4"/>
  <c r="AC15" i="4" s="1"/>
  <c r="AD15" i="4" s="1"/>
  <c r="AF8" i="4"/>
  <c r="AC8" i="4"/>
  <c r="AD8" i="4" s="1"/>
  <c r="AO139" i="4"/>
  <c r="AG139" i="4"/>
  <c r="AI139" i="4" s="1"/>
  <c r="AO91" i="4"/>
  <c r="AG91" i="4"/>
  <c r="AI91" i="4" s="1"/>
  <c r="Z149" i="4"/>
  <c r="Z100" i="4"/>
  <c r="Z95" i="4"/>
  <c r="Z46" i="4"/>
  <c r="Z66" i="4"/>
  <c r="Z71" i="4"/>
  <c r="X71" i="4" s="1"/>
  <c r="AK71" i="4" s="1"/>
  <c r="Z110" i="4"/>
  <c r="Z85" i="4"/>
  <c r="Z134" i="4"/>
  <c r="Z90" i="4"/>
  <c r="Z63" i="4"/>
  <c r="X18" i="4"/>
  <c r="AK18" i="4" s="1"/>
  <c r="Z70" i="4"/>
  <c r="Z120" i="4"/>
  <c r="Z140" i="4"/>
  <c r="AO72" i="4"/>
  <c r="AG72" i="4"/>
  <c r="AI72" i="4" s="1"/>
  <c r="AC80" i="4"/>
  <c r="AD80" i="4" s="1"/>
  <c r="AF80" i="4"/>
  <c r="AO94" i="4"/>
  <c r="AG94" i="4"/>
  <c r="AI94" i="4" s="1"/>
  <c r="AK51" i="4"/>
  <c r="Z93" i="4"/>
  <c r="Z58" i="4"/>
  <c r="AA17" i="4"/>
  <c r="Z141" i="4"/>
  <c r="X141" i="4" s="1"/>
  <c r="AK141" i="4" s="1"/>
  <c r="Z55" i="4"/>
  <c r="Z76" i="4"/>
  <c r="Z119" i="4"/>
  <c r="Z61" i="4"/>
  <c r="Z152" i="4"/>
  <c r="Z142" i="4"/>
  <c r="X21" i="4"/>
  <c r="AA21" i="4" s="1"/>
  <c r="Z130" i="4"/>
  <c r="AK8" i="4"/>
  <c r="Z79" i="4"/>
  <c r="Z111" i="4"/>
  <c r="Z44" i="4"/>
  <c r="X44" i="4" s="1"/>
  <c r="Z128" i="4"/>
  <c r="Z138" i="4"/>
  <c r="X138" i="4" s="1"/>
  <c r="AK138" i="4" s="1"/>
  <c r="AA138" i="4"/>
  <c r="AF59" i="4"/>
  <c r="AK136" i="4"/>
  <c r="Z77" i="4"/>
  <c r="Z40" i="4"/>
  <c r="Z132" i="4"/>
  <c r="Z87" i="4"/>
  <c r="Z127" i="4"/>
  <c r="Z78" i="4"/>
  <c r="Z96" i="4"/>
  <c r="Z53" i="4"/>
  <c r="X16" i="4"/>
  <c r="AA16" i="4" s="1"/>
  <c r="Z68" i="4"/>
  <c r="X20" i="4"/>
  <c r="AA20" i="4" s="1"/>
  <c r="Z56" i="4"/>
  <c r="Z47" i="4"/>
  <c r="X9" i="4"/>
  <c r="AK9" i="4" s="1"/>
  <c r="Z64" i="4"/>
  <c r="AC11" i="4"/>
  <c r="AD11" i="4" s="1"/>
  <c r="AF11" i="4"/>
  <c r="X19" i="4"/>
  <c r="AA19" i="4" s="1"/>
  <c r="Z151" i="4"/>
  <c r="AC122" i="4"/>
  <c r="AD122" i="4" s="1"/>
  <c r="AF122" i="4"/>
  <c r="AC115" i="4"/>
  <c r="AD115" i="4" s="1"/>
  <c r="AF115" i="4"/>
  <c r="AK54" i="4"/>
  <c r="Z38" i="4"/>
  <c r="Z157" i="4"/>
  <c r="Z39" i="4"/>
  <c r="Z126" i="4"/>
  <c r="Z135" i="4"/>
  <c r="Z101" i="4"/>
  <c r="X22" i="4"/>
  <c r="AK22" i="4" s="1"/>
  <c r="Z108" i="4"/>
  <c r="Z98" i="4"/>
  <c r="X12" i="4"/>
  <c r="AK12" i="4" s="1"/>
  <c r="Z143" i="4"/>
  <c r="Z69" i="4"/>
  <c r="Z103" i="4"/>
  <c r="Z23" i="4"/>
  <c r="Z32" i="4"/>
  <c r="X10" i="4"/>
  <c r="AA10" i="4" s="1"/>
  <c r="BK34" i="5"/>
  <c r="BK310" i="5"/>
  <c r="AR9" i="5"/>
  <c r="BI9" i="5"/>
  <c r="BJ540" i="5"/>
  <c r="BF7" i="5"/>
  <c r="AE7" i="5"/>
  <c r="AD7" i="5"/>
  <c r="BK38" i="5"/>
  <c r="BK123" i="5"/>
  <c r="B111" i="2"/>
  <c r="B112" i="2" s="1"/>
  <c r="H27" i="1"/>
  <c r="B108" i="2"/>
  <c r="B114" i="2" s="1"/>
  <c r="B116" i="2" s="1"/>
  <c r="H29" i="1" s="1"/>
  <c r="K122" i="2"/>
  <c r="BL44" i="5"/>
  <c r="BL556" i="5"/>
  <c r="BL545" i="5"/>
  <c r="BM289" i="5"/>
  <c r="BL13" i="5"/>
  <c r="BM522" i="5"/>
  <c r="BM473" i="5"/>
  <c r="BM462" i="5"/>
  <c r="BM392" i="5"/>
  <c r="BM203" i="5"/>
  <c r="BL188" i="5"/>
  <c r="BM508" i="5"/>
  <c r="BM175" i="5"/>
  <c r="BL463" i="5"/>
  <c r="BL300" i="5"/>
  <c r="BM13" i="5"/>
  <c r="BL352" i="5"/>
  <c r="BL277" i="5"/>
  <c r="BL266" i="5"/>
  <c r="BL500" i="5"/>
  <c r="BL392" i="5"/>
  <c r="BL342" i="5"/>
  <c r="BM188" i="5"/>
  <c r="BL508" i="5"/>
  <c r="BL217" i="5"/>
  <c r="BL445" i="5"/>
  <c r="BM354" i="5"/>
  <c r="BL505" i="5"/>
  <c r="BL267" i="5"/>
  <c r="BM239" i="5"/>
  <c r="BM419" i="5"/>
  <c r="BL94" i="5"/>
  <c r="BL344" i="5"/>
  <c r="BL269" i="5"/>
  <c r="BL242" i="5"/>
  <c r="BL332" i="5"/>
  <c r="BL113" i="5"/>
  <c r="BM64" i="5"/>
  <c r="BL340" i="5"/>
  <c r="BL238" i="5"/>
  <c r="BL558" i="5"/>
  <c r="BM455" i="5"/>
  <c r="BM21" i="5"/>
  <c r="BL401" i="5"/>
  <c r="BL314" i="5"/>
  <c r="BL265" i="5"/>
  <c r="BL263" i="5"/>
  <c r="BL440" i="5"/>
  <c r="BL402" i="5"/>
  <c r="BL224" i="5"/>
  <c r="BL197" i="5"/>
  <c r="BM136" i="5"/>
  <c r="BL317" i="5"/>
  <c r="BL32" i="5"/>
  <c r="BL278" i="5"/>
  <c r="BL241" i="5"/>
  <c r="BM411" i="5"/>
  <c r="BL102" i="5"/>
  <c r="BM149" i="5"/>
  <c r="BL421" i="5"/>
  <c r="BL286" i="5"/>
  <c r="BL189" i="5"/>
  <c r="BL178" i="5"/>
  <c r="BL91" i="5"/>
  <c r="BL483" i="5"/>
  <c r="BM169" i="5"/>
  <c r="BL350" i="5"/>
  <c r="BM280" i="5"/>
  <c r="BM49" i="5"/>
  <c r="BL35" i="5"/>
  <c r="BM298" i="5"/>
  <c r="BL276" i="5"/>
  <c r="BM521" i="5"/>
  <c r="BM494" i="5"/>
  <c r="BM130" i="5"/>
  <c r="BM107" i="5"/>
  <c r="BL92" i="5"/>
  <c r="BM337" i="5"/>
  <c r="BM70" i="5"/>
  <c r="BM367" i="5"/>
  <c r="BL144" i="5"/>
  <c r="BM548" i="5"/>
  <c r="BM537" i="5"/>
  <c r="BL184" i="5"/>
  <c r="BM390" i="5"/>
  <c r="BM179" i="5"/>
  <c r="BM206" i="5"/>
  <c r="BM151" i="5"/>
  <c r="BM381" i="5"/>
  <c r="BM290" i="5"/>
  <c r="BL475" i="5"/>
  <c r="BM433" i="5"/>
  <c r="BL368" i="5"/>
  <c r="BM357" i="5"/>
  <c r="BL39" i="5"/>
  <c r="BL19" i="5"/>
  <c r="BM434" i="5"/>
  <c r="BL555" i="5"/>
  <c r="BM257" i="5"/>
  <c r="BL432" i="5"/>
  <c r="BL410" i="5"/>
  <c r="BL425" i="5"/>
  <c r="BL280" i="5"/>
  <c r="BL536" i="5"/>
  <c r="BL50" i="5"/>
  <c r="BL498" i="5"/>
  <c r="BL550" i="5"/>
  <c r="BM76" i="5"/>
  <c r="BL49" i="5"/>
  <c r="BL36" i="5"/>
  <c r="BL320" i="5"/>
  <c r="BL309" i="5"/>
  <c r="BL183" i="5"/>
  <c r="BM374" i="5"/>
  <c r="BL337" i="5"/>
  <c r="BL70" i="5"/>
  <c r="BL117" i="5"/>
  <c r="BL58" i="5"/>
  <c r="BM378" i="5"/>
  <c r="BM292" i="5"/>
  <c r="BM184" i="5"/>
  <c r="BL157" i="5"/>
  <c r="BL83" i="5"/>
  <c r="BM315" i="5"/>
  <c r="BL492" i="5"/>
  <c r="BL481" i="5"/>
  <c r="BL287" i="5"/>
  <c r="BL34" i="5"/>
  <c r="BL480" i="5"/>
  <c r="BL469" i="5"/>
  <c r="BL436" i="5"/>
  <c r="BL206" i="5"/>
  <c r="BL151" i="5"/>
  <c r="BL109" i="5"/>
  <c r="BL290" i="5"/>
  <c r="BL534" i="5"/>
  <c r="BL530" i="5"/>
  <c r="BL139" i="5"/>
  <c r="BM475" i="5"/>
  <c r="BL433" i="5"/>
  <c r="BL166" i="5"/>
  <c r="BM399" i="5"/>
  <c r="BL357" i="5"/>
  <c r="BL90" i="5"/>
  <c r="BM51" i="5"/>
  <c r="BL525" i="5"/>
  <c r="BM288" i="5"/>
  <c r="BM549" i="5"/>
  <c r="BL330" i="5"/>
  <c r="BL531" i="5"/>
  <c r="BL244" i="5"/>
  <c r="BM217" i="5"/>
  <c r="BM553" i="5"/>
  <c r="BM526" i="5"/>
  <c r="BL487" i="5"/>
  <c r="BM267" i="5"/>
  <c r="BM161" i="5"/>
  <c r="BL154" i="5"/>
  <c r="BM388" i="5"/>
  <c r="BM361" i="5"/>
  <c r="BM344" i="5"/>
  <c r="BM486" i="5"/>
  <c r="BL343" i="5"/>
  <c r="BM363" i="5"/>
  <c r="BM332" i="5"/>
  <c r="BM113" i="5"/>
  <c r="BM384" i="5"/>
  <c r="BM67" i="5"/>
  <c r="BM238" i="5"/>
  <c r="BM424" i="5"/>
  <c r="BM194" i="5"/>
  <c r="BL21" i="5"/>
  <c r="BM379" i="5"/>
  <c r="BM65" i="5"/>
  <c r="BL53" i="5"/>
  <c r="BM29" i="5"/>
  <c r="BM356" i="5"/>
  <c r="BM146" i="5"/>
  <c r="BL335" i="5"/>
  <c r="BL59" i="5"/>
  <c r="BM236" i="5"/>
  <c r="BM223" i="5"/>
  <c r="BL511" i="5"/>
  <c r="BM458" i="5"/>
  <c r="BL180" i="5"/>
  <c r="BM87" i="5"/>
  <c r="BM359" i="5"/>
  <c r="BM317" i="5"/>
  <c r="BM32" i="5"/>
  <c r="BL339" i="5"/>
  <c r="BM369" i="5"/>
  <c r="BM111" i="5"/>
  <c r="BL112" i="5"/>
  <c r="BL321" i="5"/>
  <c r="BM63" i="5"/>
  <c r="BM543" i="5"/>
  <c r="BL234" i="5"/>
  <c r="BL275" i="5"/>
  <c r="BM22" i="5"/>
  <c r="BL430" i="5"/>
  <c r="BL141" i="5"/>
  <c r="BL413" i="5"/>
  <c r="BM299" i="5"/>
  <c r="BM273" i="5"/>
  <c r="BM272" i="5"/>
  <c r="BM528" i="5"/>
  <c r="BM506" i="5"/>
  <c r="BL291" i="5"/>
  <c r="BM484" i="5"/>
  <c r="BM446" i="5"/>
  <c r="BL120" i="5"/>
  <c r="BM365" i="5"/>
  <c r="BM82" i="5"/>
  <c r="BM37" i="5"/>
  <c r="BL251" i="5"/>
  <c r="BM214" i="5"/>
  <c r="BL160" i="5"/>
  <c r="BM202" i="5"/>
  <c r="BL467" i="5"/>
  <c r="BM372" i="5"/>
  <c r="BM78" i="5"/>
  <c r="BM264" i="5"/>
  <c r="BM520" i="5"/>
  <c r="BM253" i="5"/>
  <c r="BM482" i="5"/>
  <c r="BM20" i="5"/>
  <c r="BM560" i="5"/>
  <c r="BL260" i="5"/>
  <c r="BM478" i="5"/>
  <c r="BL439" i="5"/>
  <c r="BM125" i="5"/>
  <c r="BL370" i="5"/>
  <c r="BM219" i="5"/>
  <c r="BM524" i="5"/>
  <c r="BM513" i="5"/>
  <c r="BM255" i="5"/>
  <c r="BM448" i="5"/>
  <c r="BM245" i="5"/>
  <c r="BL148" i="5"/>
  <c r="BL366" i="5"/>
  <c r="BM256" i="5"/>
  <c r="BM517" i="5"/>
  <c r="BL499" i="5"/>
  <c r="BM249" i="5"/>
  <c r="BM119" i="5"/>
  <c r="BM310" i="5"/>
  <c r="BL533" i="5"/>
  <c r="BL506" i="5"/>
  <c r="BL38" i="5"/>
  <c r="BL446" i="5"/>
  <c r="BL365" i="5"/>
  <c r="BL326" i="5"/>
  <c r="BM523" i="5"/>
  <c r="BM160" i="5"/>
  <c r="BL133" i="5"/>
  <c r="BL202" i="5"/>
  <c r="BL115" i="5"/>
  <c r="BL345" i="5"/>
  <c r="BL78" i="5"/>
  <c r="BM8" i="5"/>
  <c r="BL237" i="5"/>
  <c r="BL316" i="5"/>
  <c r="BM303" i="5"/>
  <c r="BL24" i="5"/>
  <c r="BM323" i="5"/>
  <c r="BL233" i="5"/>
  <c r="BL489" i="5"/>
  <c r="BM216" i="5"/>
  <c r="BM204" i="5"/>
  <c r="BL448" i="5"/>
  <c r="BL147" i="5"/>
  <c r="BL377" i="5"/>
  <c r="BL110" i="5"/>
  <c r="BM366" i="5"/>
  <c r="BL296" i="5"/>
  <c r="BL319" i="5"/>
  <c r="BL256" i="5"/>
  <c r="BL517" i="5"/>
  <c r="BL490" i="5"/>
  <c r="BL211" i="5"/>
  <c r="BM212" i="5"/>
  <c r="BL532" i="5"/>
  <c r="BL77" i="5"/>
  <c r="BL349" i="5"/>
  <c r="BL66" i="5"/>
  <c r="BL351" i="5"/>
  <c r="BL559" i="5"/>
  <c r="BM261" i="5"/>
  <c r="BL227" i="5"/>
  <c r="BL515" i="5"/>
  <c r="BM201" i="5"/>
  <c r="BM510" i="5"/>
  <c r="BM376" i="5"/>
  <c r="BM429" i="5"/>
  <c r="BL338" i="5"/>
  <c r="BM41" i="5"/>
  <c r="BL187" i="5"/>
  <c r="BL459" i="5"/>
  <c r="BL172" i="5"/>
  <c r="BM145" i="5"/>
  <c r="BM416" i="5"/>
  <c r="BL138" i="5"/>
  <c r="BM394" i="5"/>
  <c r="BL403" i="5"/>
  <c r="BL116" i="5"/>
  <c r="BM409" i="5"/>
  <c r="BM142" i="5"/>
  <c r="BL551" i="5"/>
  <c r="BL331" i="5"/>
  <c r="BL124" i="5"/>
  <c r="BM97" i="5"/>
  <c r="BM85" i="5"/>
  <c r="BM282" i="5"/>
  <c r="BL324" i="5"/>
  <c r="BM542" i="5"/>
  <c r="BM231" i="5"/>
  <c r="BM408" i="5"/>
  <c r="BL283" i="5"/>
  <c r="BM460" i="5"/>
  <c r="BL192" i="5"/>
  <c r="BM174" i="5"/>
  <c r="BM552" i="5"/>
  <c r="BM541" i="5"/>
  <c r="BM54" i="5"/>
  <c r="BM131" i="5"/>
  <c r="BL132" i="5"/>
  <c r="BM105" i="5"/>
  <c r="BM286" i="5"/>
  <c r="BM422" i="5"/>
  <c r="BM268" i="5"/>
  <c r="BL63" i="5"/>
  <c r="BM512" i="5"/>
  <c r="BM554" i="5"/>
  <c r="BM275" i="5"/>
  <c r="BM468" i="5"/>
  <c r="BM185" i="5"/>
  <c r="BL391" i="5"/>
  <c r="BM360" i="5"/>
  <c r="BM413" i="5"/>
  <c r="BM25" i="5"/>
  <c r="BM43" i="5"/>
  <c r="BL540" i="5"/>
  <c r="BL336" i="5"/>
  <c r="BL250" i="5"/>
  <c r="BL510" i="5"/>
  <c r="BM471" i="5"/>
  <c r="BM447" i="5"/>
  <c r="BM116" i="5"/>
  <c r="BL142" i="5"/>
  <c r="BL328" i="5"/>
  <c r="BL45" i="5"/>
  <c r="BL226" i="5"/>
  <c r="BL470" i="5"/>
  <c r="BM380" i="5"/>
  <c r="BL47" i="5"/>
  <c r="BL304" i="5"/>
  <c r="BM547" i="5"/>
  <c r="BL297" i="5"/>
  <c r="BL222" i="5"/>
  <c r="BL231" i="5"/>
  <c r="BL408" i="5"/>
  <c r="BL397" i="5"/>
  <c r="BL114" i="5"/>
  <c r="BM283" i="5"/>
  <c r="BM191" i="5"/>
  <c r="BM192" i="5"/>
  <c r="BM258" i="5"/>
  <c r="BM502" i="5"/>
  <c r="BL271" i="5"/>
  <c r="BM464" i="5"/>
  <c r="BM126" i="5"/>
  <c r="BM364" i="5"/>
  <c r="BM353" i="5"/>
  <c r="BM383" i="5"/>
  <c r="BM69" i="5"/>
  <c r="BM405" i="5"/>
  <c r="BM418" i="5"/>
  <c r="BM75" i="5"/>
  <c r="BM252" i="5"/>
  <c r="BM538" i="5"/>
  <c r="BL259" i="5"/>
  <c r="BM452" i="5"/>
  <c r="BL88" i="5"/>
  <c r="BM306" i="5"/>
  <c r="BM229" i="5"/>
  <c r="BL140" i="5"/>
  <c r="BM118" i="5"/>
  <c r="BL479" i="5"/>
  <c r="BM106" i="5"/>
  <c r="BL362" i="5"/>
  <c r="BL84" i="5"/>
  <c r="BM46" i="5"/>
  <c r="BM247" i="5"/>
  <c r="BL519" i="5"/>
  <c r="BM232" i="5"/>
  <c r="BM205" i="5"/>
  <c r="BM438" i="5"/>
  <c r="BM412" i="5"/>
  <c r="BL186" i="5"/>
  <c r="BL387" i="5"/>
  <c r="BM62" i="5"/>
  <c r="BM504" i="5"/>
  <c r="BM301" i="5"/>
  <c r="BL347" i="5"/>
  <c r="BL258" i="5"/>
  <c r="BL502" i="5"/>
  <c r="BL235" i="5"/>
  <c r="BL442" i="5"/>
  <c r="BM451" i="5"/>
  <c r="BL126" i="5"/>
  <c r="BL135" i="5"/>
  <c r="BL93" i="5"/>
  <c r="BM395" i="5"/>
  <c r="BL364" i="5"/>
  <c r="BL353" i="5"/>
  <c r="BL95" i="5"/>
  <c r="BL12" i="5"/>
  <c r="BL270" i="5"/>
  <c r="BL279" i="5"/>
  <c r="BL456" i="5"/>
  <c r="BL509" i="5"/>
  <c r="BL252" i="5"/>
  <c r="BL305" i="5"/>
  <c r="BL230" i="5"/>
  <c r="BM48" i="5"/>
  <c r="BL496" i="5"/>
  <c r="BM218" i="5"/>
  <c r="BL538" i="5"/>
  <c r="BL158" i="5"/>
  <c r="BL103" i="5"/>
  <c r="BL61" i="5"/>
  <c r="BM427" i="5"/>
  <c r="BL385" i="5"/>
  <c r="BL127" i="5"/>
  <c r="BM479" i="5"/>
  <c r="BL373" i="5"/>
  <c r="BL121" i="5"/>
  <c r="BL247" i="5"/>
  <c r="BL450" i="5"/>
  <c r="BM443" i="5"/>
  <c r="BL198" i="5"/>
  <c r="BM431" i="5"/>
  <c r="BL453" i="5"/>
  <c r="BL329" i="5"/>
  <c r="BM382" i="5"/>
  <c r="BL71" i="5"/>
  <c r="BL301" i="5"/>
  <c r="BL466" i="5"/>
  <c r="BL30" i="5"/>
  <c r="BM193" i="5"/>
  <c r="BL208" i="5"/>
  <c r="BM163" i="5"/>
  <c r="BL164" i="5"/>
  <c r="BL27" i="5"/>
  <c r="BM557" i="5"/>
  <c r="BL108" i="5"/>
  <c r="BM81" i="5"/>
  <c r="BM417" i="5"/>
  <c r="BM150" i="5"/>
  <c r="BL159" i="5"/>
  <c r="BL96" i="5"/>
  <c r="BM281" i="5"/>
  <c r="BL200" i="5"/>
  <c r="BM173" i="5"/>
  <c r="BM162" i="5"/>
  <c r="BM497" i="5"/>
  <c r="BM240" i="5"/>
  <c r="BM213" i="5"/>
  <c r="BM485" i="5"/>
  <c r="BM195" i="5"/>
  <c r="BM196" i="5"/>
  <c r="BM375" i="5"/>
  <c r="BL152" i="5"/>
  <c r="BM333" i="5"/>
  <c r="BM546" i="5"/>
  <c r="BL491" i="5"/>
  <c r="BM449" i="5"/>
  <c r="BM182" i="5"/>
  <c r="BM371" i="5"/>
  <c r="BL57" i="5"/>
  <c r="BM514" i="5"/>
  <c r="BL507" i="5"/>
  <c r="BM129" i="5"/>
  <c r="BL495" i="5"/>
  <c r="BM389" i="5"/>
  <c r="BL100" i="5"/>
  <c r="BM393" i="5"/>
  <c r="BM318" i="5"/>
  <c r="BM33" i="5"/>
  <c r="BM327" i="5"/>
  <c r="BM248" i="5"/>
  <c r="BM493" i="5"/>
  <c r="BL426" i="5"/>
  <c r="BL404" i="5"/>
  <c r="BL441" i="5"/>
  <c r="BL174" i="5"/>
  <c r="BL55" i="5"/>
  <c r="BL322" i="5"/>
  <c r="BL54" i="5"/>
  <c r="BL207" i="5"/>
  <c r="BL457" i="5"/>
  <c r="BM190" i="5"/>
  <c r="BM27" i="5"/>
  <c r="BL557" i="5"/>
  <c r="BL501" i="5"/>
  <c r="BL341" i="5"/>
  <c r="BL74" i="5"/>
  <c r="BM308" i="5"/>
  <c r="BL281" i="5"/>
  <c r="BL215" i="5"/>
  <c r="BM200" i="5"/>
  <c r="BL173" i="5"/>
  <c r="BL162" i="5"/>
  <c r="BL406" i="5"/>
  <c r="BL225" i="5"/>
  <c r="BL213" i="5"/>
  <c r="BL516" i="5"/>
  <c r="BL414" i="5"/>
  <c r="BL294" i="5"/>
  <c r="BL396" i="5"/>
  <c r="BM128" i="5"/>
  <c r="BL437" i="5"/>
  <c r="BM57" i="5"/>
  <c r="BL313" i="5"/>
  <c r="BL302" i="5"/>
  <c r="BL311" i="5"/>
  <c r="BM42" i="5"/>
  <c r="BL488" i="5"/>
  <c r="BL477" i="5"/>
  <c r="BL171" i="5"/>
  <c r="BM220" i="5"/>
  <c r="BL134" i="5"/>
  <c r="BL143" i="5"/>
  <c r="BL389" i="5"/>
  <c r="BL99" i="5"/>
  <c r="BM100" i="5"/>
  <c r="BL137" i="5"/>
  <c r="BL393" i="5"/>
  <c r="BL248" i="5"/>
  <c r="BL221" i="5"/>
  <c r="BL454" i="5"/>
  <c r="BL355" i="5"/>
  <c r="BG10" i="5"/>
  <c r="BF9" i="5"/>
  <c r="BG378" i="5"/>
  <c r="BL378" i="5" s="1"/>
  <c r="BG394" i="5"/>
  <c r="BL394" i="5" s="1"/>
  <c r="AA7" i="4"/>
  <c r="BG547" i="5"/>
  <c r="BL547" i="5" s="1"/>
  <c r="BH536" i="5"/>
  <c r="BM536" i="5" s="1"/>
  <c r="AN7" i="4"/>
  <c r="BG427" i="5"/>
  <c r="BL427" i="5" s="1"/>
  <c r="BG376" i="5"/>
  <c r="BL376" i="5" s="1"/>
  <c r="BG537" i="5"/>
  <c r="BL537" i="5" s="1"/>
  <c r="BH500" i="5"/>
  <c r="BM500" i="5" s="1"/>
  <c r="BG411" i="5"/>
  <c r="BL411" i="5" s="1"/>
  <c r="BH414" i="5"/>
  <c r="BM414" i="5" s="1"/>
  <c r="BH490" i="5"/>
  <c r="BM490" i="5" s="1"/>
  <c r="BG554" i="5"/>
  <c r="BL554" i="5" s="1"/>
  <c r="BG514" i="5"/>
  <c r="BL514" i="5" s="1"/>
  <c r="BH421" i="5"/>
  <c r="BM421" i="5" s="1"/>
  <c r="BH456" i="5"/>
  <c r="BM456" i="5" s="1"/>
  <c r="BH515" i="5"/>
  <c r="BM515" i="5" s="1"/>
  <c r="BG310" i="5"/>
  <c r="BL310" i="5" s="1"/>
  <c r="BH487" i="5"/>
  <c r="BM487" i="5" s="1"/>
  <c r="BH492" i="5"/>
  <c r="BM492" i="5" s="1"/>
  <c r="BH556" i="5"/>
  <c r="BM556" i="5" s="1"/>
  <c r="BH189" i="5"/>
  <c r="BM189" i="5" s="1"/>
  <c r="BH540" i="5"/>
  <c r="BM540" i="5" s="1"/>
  <c r="BH300" i="5"/>
  <c r="BM300" i="5" s="1"/>
  <c r="BH35" i="5"/>
  <c r="BM35" i="5" s="1"/>
  <c r="BH509" i="5"/>
  <c r="BM509" i="5" s="1"/>
  <c r="BH377" i="5"/>
  <c r="BM377" i="5" s="1"/>
  <c r="BH44" i="5"/>
  <c r="BM44" i="5" s="1"/>
  <c r="BH351" i="5"/>
  <c r="BM351" i="5" s="1"/>
  <c r="BG388" i="5"/>
  <c r="BL388" i="5" s="1"/>
  <c r="BG486" i="5"/>
  <c r="BL486" i="5" s="1"/>
  <c r="BG375" i="5"/>
  <c r="BL375" i="5" s="1"/>
  <c r="BG239" i="5"/>
  <c r="BL239" i="5" s="1"/>
  <c r="BH58" i="5"/>
  <c r="BM58" i="5" s="1"/>
  <c r="BH336" i="5"/>
  <c r="BM336" i="5" s="1"/>
  <c r="BH463" i="5"/>
  <c r="BM463" i="5" s="1"/>
  <c r="BH320" i="5"/>
  <c r="BM320" i="5" s="1"/>
  <c r="BG175" i="5"/>
  <c r="BL175" i="5" s="1"/>
  <c r="BG455" i="5"/>
  <c r="BL455" i="5" s="1"/>
  <c r="BH10" i="5"/>
  <c r="BH340" i="5"/>
  <c r="BM340" i="5" s="1"/>
  <c r="BH355" i="5"/>
  <c r="BM355" i="5" s="1"/>
  <c r="BG497" i="5"/>
  <c r="BL497" i="5" s="1"/>
  <c r="BG272" i="5"/>
  <c r="BL272" i="5" s="1"/>
  <c r="BH12" i="5"/>
  <c r="BM12" i="5" s="1"/>
  <c r="BG380" i="5"/>
  <c r="BL380" i="5" s="1"/>
  <c r="BH266" i="5"/>
  <c r="BM266" i="5" s="1"/>
  <c r="BH391" i="5"/>
  <c r="BM391" i="5" s="1"/>
  <c r="BG542" i="5"/>
  <c r="BL542" i="5" s="1"/>
  <c r="BG526" i="5"/>
  <c r="BL526" i="5" s="1"/>
  <c r="BH226" i="5"/>
  <c r="BM226" i="5" s="1"/>
  <c r="BH505" i="5"/>
  <c r="BM505" i="5" s="1"/>
  <c r="BH402" i="5"/>
  <c r="BM402" i="5" s="1"/>
  <c r="BH186" i="5"/>
  <c r="BM186" i="5" s="1"/>
  <c r="BH34" i="5"/>
  <c r="BM34" i="5" s="1"/>
  <c r="BG383" i="5"/>
  <c r="BL383" i="5" s="1"/>
  <c r="BH406" i="5"/>
  <c r="BM406" i="5" s="1"/>
  <c r="BH335" i="5"/>
  <c r="BM335" i="5" s="1"/>
  <c r="BH345" i="5"/>
  <c r="BM345" i="5" s="1"/>
  <c r="BH276" i="5"/>
  <c r="BM276" i="5" s="1"/>
  <c r="BH397" i="5"/>
  <c r="BM397" i="5" s="1"/>
  <c r="BH349" i="5"/>
  <c r="BM349" i="5" s="1"/>
  <c r="BG478" i="5"/>
  <c r="BL478" i="5" s="1"/>
  <c r="AE9" i="5"/>
  <c r="BG318" i="5"/>
  <c r="BL318" i="5" s="1"/>
  <c r="BG367" i="5"/>
  <c r="BL367" i="5" s="1"/>
  <c r="BH425" i="5"/>
  <c r="BM425" i="5" s="1"/>
  <c r="BG363" i="5"/>
  <c r="BL363" i="5" s="1"/>
  <c r="BG521" i="5"/>
  <c r="BL521" i="5" s="1"/>
  <c r="BG560" i="5"/>
  <c r="BL560" i="5" s="1"/>
  <c r="BG405" i="5"/>
  <c r="BL405" i="5" s="1"/>
  <c r="B207" i="2"/>
  <c r="B237" i="2" s="1"/>
  <c r="F72" i="1" s="1"/>
  <c r="BG390" i="5"/>
  <c r="BL390" i="5" s="1"/>
  <c r="BH38" i="5"/>
  <c r="BM38" i="5" s="1"/>
  <c r="BH347" i="5"/>
  <c r="BM347" i="5" s="1"/>
  <c r="BG255" i="5"/>
  <c r="BL255" i="5" s="1"/>
  <c r="BH470" i="5"/>
  <c r="BM470" i="5" s="1"/>
  <c r="BH148" i="5"/>
  <c r="BM148" i="5" s="1"/>
  <c r="BG298" i="5"/>
  <c r="BL298" i="5" s="1"/>
  <c r="BG485" i="5"/>
  <c r="BL485" i="5" s="1"/>
  <c r="BG443" i="5"/>
  <c r="BL443" i="5" s="1"/>
  <c r="BH507" i="5"/>
  <c r="BM507" i="5" s="1"/>
  <c r="BH440" i="5"/>
  <c r="BM440" i="5" s="1"/>
  <c r="BH250" i="5"/>
  <c r="BM250" i="5" s="1"/>
  <c r="BG288" i="5"/>
  <c r="BL288" i="5" s="1"/>
  <c r="BG150" i="5"/>
  <c r="BL150" i="5" s="1"/>
  <c r="BG131" i="5"/>
  <c r="BL131" i="5" s="1"/>
  <c r="BH331" i="5"/>
  <c r="BM331" i="5" s="1"/>
  <c r="BG107" i="5"/>
  <c r="BL107" i="5" s="1"/>
  <c r="BG268" i="5"/>
  <c r="BL268" i="5" s="1"/>
  <c r="BG473" i="5"/>
  <c r="BL473" i="5" s="1"/>
  <c r="BH491" i="5"/>
  <c r="BM491" i="5" s="1"/>
  <c r="BG97" i="5"/>
  <c r="BL97" i="5" s="1"/>
  <c r="BG323" i="5"/>
  <c r="BL323" i="5" s="1"/>
  <c r="BG163" i="5"/>
  <c r="BL163" i="5" s="1"/>
  <c r="BG282" i="5"/>
  <c r="BL282" i="5" s="1"/>
  <c r="BG289" i="5"/>
  <c r="BL289" i="5" s="1"/>
  <c r="BG417" i="5"/>
  <c r="BL417" i="5" s="1"/>
  <c r="BH488" i="5"/>
  <c r="BM488" i="5" s="1"/>
  <c r="BH321" i="5"/>
  <c r="BM321" i="5" s="1"/>
  <c r="BH324" i="5"/>
  <c r="BM324" i="5" s="1"/>
  <c r="BH115" i="5"/>
  <c r="BM115" i="5" s="1"/>
  <c r="BG482" i="5"/>
  <c r="BL482" i="5" s="1"/>
  <c r="BG111" i="5"/>
  <c r="BL111" i="5" s="1"/>
  <c r="BH211" i="5"/>
  <c r="BM211" i="5" s="1"/>
  <c r="BH102" i="5"/>
  <c r="BM102" i="5" s="1"/>
  <c r="BG264" i="5"/>
  <c r="BL264" i="5" s="1"/>
  <c r="BG76" i="5"/>
  <c r="BL76" i="5" s="1"/>
  <c r="BG452" i="5"/>
  <c r="BL452" i="5" s="1"/>
  <c r="BH99" i="5"/>
  <c r="BM99" i="5" s="1"/>
  <c r="BG85" i="5"/>
  <c r="BL85" i="5" s="1"/>
  <c r="BH259" i="5"/>
  <c r="BM259" i="5" s="1"/>
  <c r="BG409" i="5"/>
  <c r="BL409" i="5" s="1"/>
  <c r="BH370" i="5"/>
  <c r="BM370" i="5" s="1"/>
  <c r="BH532" i="5"/>
  <c r="BM532" i="5" s="1"/>
  <c r="BG449" i="5"/>
  <c r="BL449" i="5" s="1"/>
  <c r="BH534" i="5"/>
  <c r="BM534" i="5" s="1"/>
  <c r="BG37" i="5"/>
  <c r="BL37" i="5" s="1"/>
  <c r="BH436" i="5"/>
  <c r="BM436" i="5" s="1"/>
  <c r="BG29" i="5"/>
  <c r="BL29" i="5" s="1"/>
  <c r="BH530" i="5"/>
  <c r="BM530" i="5" s="1"/>
  <c r="BH410" i="5"/>
  <c r="BM410" i="5" s="1"/>
  <c r="BH197" i="5"/>
  <c r="BM197" i="5" s="1"/>
  <c r="BG64" i="5"/>
  <c r="BL64" i="5" s="1"/>
  <c r="BH516" i="5"/>
  <c r="BM516" i="5" s="1"/>
  <c r="BH296" i="5"/>
  <c r="BM296" i="5" s="1"/>
  <c r="BG494" i="5"/>
  <c r="BL494" i="5" s="1"/>
  <c r="BH45" i="5"/>
  <c r="BM45" i="5" s="1"/>
  <c r="BH94" i="5"/>
  <c r="BM94" i="5" s="1"/>
  <c r="BH472" i="5"/>
  <c r="BM472" i="5" s="1"/>
  <c r="BG472" i="5"/>
  <c r="BL472" i="5" s="1"/>
  <c r="BG416" i="5"/>
  <c r="BL416" i="5" s="1"/>
  <c r="BH313" i="5"/>
  <c r="BM313" i="5" s="1"/>
  <c r="BG219" i="5"/>
  <c r="BL219" i="5" s="1"/>
  <c r="BH439" i="5"/>
  <c r="BM439" i="5" s="1"/>
  <c r="BH326" i="5"/>
  <c r="BM326" i="5" s="1"/>
  <c r="BG513" i="5"/>
  <c r="BL513" i="5" s="1"/>
  <c r="BG549" i="5"/>
  <c r="BL549" i="5" s="1"/>
  <c r="BH53" i="5"/>
  <c r="BM53" i="5" s="1"/>
  <c r="BH154" i="5"/>
  <c r="BM154" i="5" s="1"/>
  <c r="BH551" i="5"/>
  <c r="BM551" i="5" s="1"/>
  <c r="BG546" i="5"/>
  <c r="BL546" i="5" s="1"/>
  <c r="BH325" i="5"/>
  <c r="BM325" i="5" s="1"/>
  <c r="BG325" i="5"/>
  <c r="BL325" i="5" s="1"/>
  <c r="BH237" i="5"/>
  <c r="BM237" i="5" s="1"/>
  <c r="BG130" i="5"/>
  <c r="BL130" i="5" s="1"/>
  <c r="BH385" i="5"/>
  <c r="BM385" i="5" s="1"/>
  <c r="BG22" i="5"/>
  <c r="BL22" i="5" s="1"/>
  <c r="BH396" i="5"/>
  <c r="BM396" i="5" s="1"/>
  <c r="BH555" i="5"/>
  <c r="BM555" i="5" s="1"/>
  <c r="BH235" i="5"/>
  <c r="BM235" i="5" s="1"/>
  <c r="BE9" i="5"/>
  <c r="BD9" i="5"/>
  <c r="BG273" i="5"/>
  <c r="BL273" i="5" s="1"/>
  <c r="BG194" i="5"/>
  <c r="BL194" i="5" s="1"/>
  <c r="BH329" i="5"/>
  <c r="BM329" i="5" s="1"/>
  <c r="BH343" i="5"/>
  <c r="BM343" i="5" s="1"/>
  <c r="BH403" i="5"/>
  <c r="BM403" i="5" s="1"/>
  <c r="BG524" i="5"/>
  <c r="BL524" i="5" s="1"/>
  <c r="BH77" i="5"/>
  <c r="BM77" i="5" s="1"/>
  <c r="BG382" i="5"/>
  <c r="BL382" i="5" s="1"/>
  <c r="BG522" i="5"/>
  <c r="BL522" i="5" s="1"/>
  <c r="BH362" i="5"/>
  <c r="BM362" i="5" s="1"/>
  <c r="BG25" i="5"/>
  <c r="BL25" i="5" s="1"/>
  <c r="BH93" i="5"/>
  <c r="BM93" i="5" s="1"/>
  <c r="BH330" i="5"/>
  <c r="BM330" i="5" s="1"/>
  <c r="BG458" i="5"/>
  <c r="BL458" i="5" s="1"/>
  <c r="BG381" i="5"/>
  <c r="BL381" i="5" s="1"/>
  <c r="BH50" i="5"/>
  <c r="BM50" i="5" s="1"/>
  <c r="BG203" i="5"/>
  <c r="BL203" i="5" s="1"/>
  <c r="BH132" i="5"/>
  <c r="BM132" i="5" s="1"/>
  <c r="BH159" i="5"/>
  <c r="BM159" i="5" s="1"/>
  <c r="BH83" i="5"/>
  <c r="BM83" i="5" s="1"/>
  <c r="BH457" i="5"/>
  <c r="BM457" i="5" s="1"/>
  <c r="BG205" i="5"/>
  <c r="BL205" i="5" s="1"/>
  <c r="BH328" i="5"/>
  <c r="BM328" i="5" s="1"/>
  <c r="BG191" i="5"/>
  <c r="BL191" i="5" s="1"/>
  <c r="BG523" i="5"/>
  <c r="BL523" i="5" s="1"/>
  <c r="BG354" i="5"/>
  <c r="BL354" i="5" s="1"/>
  <c r="BG161" i="5"/>
  <c r="BL161" i="5" s="1"/>
  <c r="BH481" i="5"/>
  <c r="BM481" i="5" s="1"/>
  <c r="BH233" i="5"/>
  <c r="BM233" i="5" s="1"/>
  <c r="BG359" i="5"/>
  <c r="BL359" i="5" s="1"/>
  <c r="BH127" i="5"/>
  <c r="BM127" i="5" s="1"/>
  <c r="BG438" i="5"/>
  <c r="BL438" i="5" s="1"/>
  <c r="BH278" i="5"/>
  <c r="BM278" i="5" s="1"/>
  <c r="BG399" i="5"/>
  <c r="BL399" i="5" s="1"/>
  <c r="BH244" i="5"/>
  <c r="BM244" i="5" s="1"/>
  <c r="BG460" i="5"/>
  <c r="BL460" i="5" s="1"/>
  <c r="BH469" i="5"/>
  <c r="BM469" i="5" s="1"/>
  <c r="BH432" i="5"/>
  <c r="BM432" i="5" s="1"/>
  <c r="BG204" i="5"/>
  <c r="BL204" i="5" s="1"/>
  <c r="BG212" i="5"/>
  <c r="BL212" i="5" s="1"/>
  <c r="BH19" i="5"/>
  <c r="BM19" i="5" s="1"/>
  <c r="BH342" i="5"/>
  <c r="BM342" i="5" s="1"/>
  <c r="BG333" i="5"/>
  <c r="BL333" i="5" s="1"/>
  <c r="BG379" i="5"/>
  <c r="BL379" i="5" s="1"/>
  <c r="BG356" i="5"/>
  <c r="BL356" i="5" s="1"/>
  <c r="BH135" i="5"/>
  <c r="BM135" i="5" s="1"/>
  <c r="BH271" i="5"/>
  <c r="BM271" i="5" s="1"/>
  <c r="BG220" i="5"/>
  <c r="BL220" i="5" s="1"/>
  <c r="BH559" i="5"/>
  <c r="BM559" i="5" s="1"/>
  <c r="BH230" i="5"/>
  <c r="BM230" i="5" s="1"/>
  <c r="BG20" i="5"/>
  <c r="BL20" i="5" s="1"/>
  <c r="BG75" i="5"/>
  <c r="BL75" i="5" s="1"/>
  <c r="BH533" i="5"/>
  <c r="BM533" i="5" s="1"/>
  <c r="BH277" i="5"/>
  <c r="BM277" i="5" s="1"/>
  <c r="BH545" i="5"/>
  <c r="BM545" i="5" s="1"/>
  <c r="BG371" i="5"/>
  <c r="BL371" i="5" s="1"/>
  <c r="BG48" i="5"/>
  <c r="BL48" i="5" s="1"/>
  <c r="BH139" i="5"/>
  <c r="BM139" i="5" s="1"/>
  <c r="BH114" i="5"/>
  <c r="BM114" i="5" s="1"/>
  <c r="BG229" i="5"/>
  <c r="BL229" i="5" s="1"/>
  <c r="BH453" i="5"/>
  <c r="BM453" i="5" s="1"/>
  <c r="BH198" i="5"/>
  <c r="BM198" i="5" s="1"/>
  <c r="BH477" i="5"/>
  <c r="BM477" i="5" s="1"/>
  <c r="BG65" i="5"/>
  <c r="BL65" i="5" s="1"/>
  <c r="BH90" i="5"/>
  <c r="BM90" i="5" s="1"/>
  <c r="BG257" i="5"/>
  <c r="BL257" i="5" s="1"/>
  <c r="BH103" i="5"/>
  <c r="BM103" i="5" s="1"/>
  <c r="BH426" i="5"/>
  <c r="BM426" i="5" s="1"/>
  <c r="BH92" i="5"/>
  <c r="BM92" i="5" s="1"/>
  <c r="BG190" i="5"/>
  <c r="BL190" i="5" s="1"/>
  <c r="BH294" i="5"/>
  <c r="BM294" i="5" s="1"/>
  <c r="BH265" i="5"/>
  <c r="BM265" i="5" s="1"/>
  <c r="BG125" i="5"/>
  <c r="BL125" i="5" s="1"/>
  <c r="BG119" i="5"/>
  <c r="BL119" i="5" s="1"/>
  <c r="BH445" i="5"/>
  <c r="BM445" i="5" s="1"/>
  <c r="BH166" i="5"/>
  <c r="BM166" i="5" s="1"/>
  <c r="BH95" i="5"/>
  <c r="BM95" i="5" s="1"/>
  <c r="BH47" i="5"/>
  <c r="BM47" i="5" s="1"/>
  <c r="BG195" i="5"/>
  <c r="BL195" i="5" s="1"/>
  <c r="BG369" i="5"/>
  <c r="BL369" i="5" s="1"/>
  <c r="BH164" i="5"/>
  <c r="BM164" i="5" s="1"/>
  <c r="BH350" i="5"/>
  <c r="BM350" i="5" s="1"/>
  <c r="BH91" i="5"/>
  <c r="BM91" i="5" s="1"/>
  <c r="BH309" i="5"/>
  <c r="BM309" i="5" s="1"/>
  <c r="BH401" i="5"/>
  <c r="BM401" i="5" s="1"/>
  <c r="BG464" i="5"/>
  <c r="BL464" i="5" s="1"/>
  <c r="BH441" i="5"/>
  <c r="BM441" i="5" s="1"/>
  <c r="BG543" i="5"/>
  <c r="BL543" i="5" s="1"/>
  <c r="BH143" i="5"/>
  <c r="BM143" i="5" s="1"/>
  <c r="BG149" i="5"/>
  <c r="BL149" i="5" s="1"/>
  <c r="BH172" i="5"/>
  <c r="BM172" i="5" s="1"/>
  <c r="BG129" i="5"/>
  <c r="BL129" i="5" s="1"/>
  <c r="BG41" i="5"/>
  <c r="BL41" i="5" s="1"/>
  <c r="BH269" i="5"/>
  <c r="BM269" i="5" s="1"/>
  <c r="BH270" i="5"/>
  <c r="BM270" i="5" s="1"/>
  <c r="BH59" i="5"/>
  <c r="BM59" i="5" s="1"/>
  <c r="BG428" i="5"/>
  <c r="BL428" i="5" s="1"/>
  <c r="BH428" i="5"/>
  <c r="BM428" i="5" s="1"/>
  <c r="BH368" i="5"/>
  <c r="BM368" i="5" s="1"/>
  <c r="BG429" i="5"/>
  <c r="BL429" i="5" s="1"/>
  <c r="BH30" i="5"/>
  <c r="BM30" i="5" s="1"/>
  <c r="BH334" i="5"/>
  <c r="BM334" i="5" s="1"/>
  <c r="BG334" i="5"/>
  <c r="BL334" i="5" s="1"/>
  <c r="BG72" i="5"/>
  <c r="BL72" i="5" s="1"/>
  <c r="BH72" i="5"/>
  <c r="BM72" i="5" s="1"/>
  <c r="BG209" i="5"/>
  <c r="BL209" i="5" s="1"/>
  <c r="BH209" i="5"/>
  <c r="BM209" i="5" s="1"/>
  <c r="BH39" i="5"/>
  <c r="BM39" i="5" s="1"/>
  <c r="BG327" i="5"/>
  <c r="BL327" i="5" s="1"/>
  <c r="BH558" i="5"/>
  <c r="BM558" i="5" s="1"/>
  <c r="BG461" i="5"/>
  <c r="BL461" i="5" s="1"/>
  <c r="BH461" i="5"/>
  <c r="BM461" i="5" s="1"/>
  <c r="BG82" i="5"/>
  <c r="BL82" i="5" s="1"/>
  <c r="BH187" i="5"/>
  <c r="BM187" i="5" s="1"/>
  <c r="BG193" i="5"/>
  <c r="BL193" i="5" s="1"/>
  <c r="BG315" i="5"/>
  <c r="BL315" i="5" s="1"/>
  <c r="BH511" i="5"/>
  <c r="BM511" i="5" s="1"/>
  <c r="BH466" i="5"/>
  <c r="BM466" i="5" s="1"/>
  <c r="BG52" i="5"/>
  <c r="BL52" i="5" s="1"/>
  <c r="BH52" i="5"/>
  <c r="BM52" i="5" s="1"/>
  <c r="BG87" i="5"/>
  <c r="BL87" i="5" s="1"/>
  <c r="BG232" i="5"/>
  <c r="BL232" i="5" s="1"/>
  <c r="BH444" i="5"/>
  <c r="BM444" i="5" s="1"/>
  <c r="BG444" i="5"/>
  <c r="BL444" i="5" s="1"/>
  <c r="BH153" i="5"/>
  <c r="BM153" i="5" s="1"/>
  <c r="BG153" i="5"/>
  <c r="BL153" i="5" s="1"/>
  <c r="BH156" i="5"/>
  <c r="BM156" i="5" s="1"/>
  <c r="BG156" i="5"/>
  <c r="BL156" i="5" s="1"/>
  <c r="BG303" i="5"/>
  <c r="BL303" i="5" s="1"/>
  <c r="BH483" i="5"/>
  <c r="BM483" i="5" s="1"/>
  <c r="BH531" i="5"/>
  <c r="BM531" i="5" s="1"/>
  <c r="BH79" i="5"/>
  <c r="BM79" i="5" s="1"/>
  <c r="BG79" i="5"/>
  <c r="BL79" i="5" s="1"/>
  <c r="BG89" i="5"/>
  <c r="BL89" i="5" s="1"/>
  <c r="BH89" i="5"/>
  <c r="BM89" i="5" s="1"/>
  <c r="BH36" i="5"/>
  <c r="BM36" i="5" s="1"/>
  <c r="BH138" i="5"/>
  <c r="BM138" i="5" s="1"/>
  <c r="BH180" i="5"/>
  <c r="BM180" i="5" s="1"/>
  <c r="BG196" i="5"/>
  <c r="BL196" i="5" s="1"/>
  <c r="BH158" i="5"/>
  <c r="BM158" i="5" s="1"/>
  <c r="BG136" i="5"/>
  <c r="BL136" i="5" s="1"/>
  <c r="BG185" i="5"/>
  <c r="BL185" i="5" s="1"/>
  <c r="BG42" i="5"/>
  <c r="BL42" i="5" s="1"/>
  <c r="BH459" i="5"/>
  <c r="BM459" i="5" s="1"/>
  <c r="BH525" i="5"/>
  <c r="BM525" i="5" s="1"/>
  <c r="BG361" i="5"/>
  <c r="BL361" i="5" s="1"/>
  <c r="BG240" i="5"/>
  <c r="BL240" i="5" s="1"/>
  <c r="BG465" i="5"/>
  <c r="BL465" i="5" s="1"/>
  <c r="BH465" i="5"/>
  <c r="BM465" i="5" s="1"/>
  <c r="BH228" i="5"/>
  <c r="BM228" i="5" s="1"/>
  <c r="BG228" i="5"/>
  <c r="BL228" i="5" s="1"/>
  <c r="BG177" i="5"/>
  <c r="BL177" i="5" s="1"/>
  <c r="BH177" i="5"/>
  <c r="BM177" i="5" s="1"/>
  <c r="BH60" i="5"/>
  <c r="BM60" i="5" s="1"/>
  <c r="BG60" i="5"/>
  <c r="BL60" i="5" s="1"/>
  <c r="BH124" i="5"/>
  <c r="BM124" i="5" s="1"/>
  <c r="BH222" i="5"/>
  <c r="BM222" i="5" s="1"/>
  <c r="BG435" i="5"/>
  <c r="BL435" i="5" s="1"/>
  <c r="BH435" i="5"/>
  <c r="BM435" i="5" s="1"/>
  <c r="BH274" i="5"/>
  <c r="BM274" i="5" s="1"/>
  <c r="BG274" i="5"/>
  <c r="BL274" i="5" s="1"/>
  <c r="BH387" i="5"/>
  <c r="BM387" i="5" s="1"/>
  <c r="BG431" i="5"/>
  <c r="BL431" i="5" s="1"/>
  <c r="BH55" i="5"/>
  <c r="BM55" i="5" s="1"/>
  <c r="BH208" i="5"/>
  <c r="BM208" i="5" s="1"/>
  <c r="BH112" i="5"/>
  <c r="BM112" i="5" s="1"/>
  <c r="BH225" i="5"/>
  <c r="BM225" i="5" s="1"/>
  <c r="BH84" i="5"/>
  <c r="BM84" i="5" s="1"/>
  <c r="BG236" i="5"/>
  <c r="BL236" i="5" s="1"/>
  <c r="BH224" i="5"/>
  <c r="BM224" i="5" s="1"/>
  <c r="BG539" i="5"/>
  <c r="BL539" i="5" s="1"/>
  <c r="BH539" i="5"/>
  <c r="BM539" i="5" s="1"/>
  <c r="BH420" i="5"/>
  <c r="BM420" i="5" s="1"/>
  <c r="BG420" i="5"/>
  <c r="BL420" i="5" s="1"/>
  <c r="BG262" i="5"/>
  <c r="BL262" i="5" s="1"/>
  <c r="BH262" i="5"/>
  <c r="BM262" i="5" s="1"/>
  <c r="BH304" i="5"/>
  <c r="BM304" i="5" s="1"/>
  <c r="BG306" i="5"/>
  <c r="BL306" i="5" s="1"/>
  <c r="BH74" i="5"/>
  <c r="BM74" i="5" s="1"/>
  <c r="BG245" i="5"/>
  <c r="BL245" i="5" s="1"/>
  <c r="BH519" i="5"/>
  <c r="BM519" i="5" s="1"/>
  <c r="BG374" i="5"/>
  <c r="BL374" i="5" s="1"/>
  <c r="BH86" i="5"/>
  <c r="BM86" i="5" s="1"/>
  <c r="BG86" i="5"/>
  <c r="BL86" i="5" s="1"/>
  <c r="BH293" i="5"/>
  <c r="BM293" i="5" s="1"/>
  <c r="BG293" i="5"/>
  <c r="BL293" i="5" s="1"/>
  <c r="BG106" i="5"/>
  <c r="BL106" i="5" s="1"/>
  <c r="BH322" i="5"/>
  <c r="BM322" i="5" s="1"/>
  <c r="BH120" i="5"/>
  <c r="BM120" i="5" s="1"/>
  <c r="BG67" i="5"/>
  <c r="BL67" i="5" s="1"/>
  <c r="BH527" i="5"/>
  <c r="BM527" i="5" s="1"/>
  <c r="BG527" i="5"/>
  <c r="BL527" i="5" s="1"/>
  <c r="BG358" i="5"/>
  <c r="BL358" i="5" s="1"/>
  <c r="BH358" i="5"/>
  <c r="BM358" i="5" s="1"/>
  <c r="BG31" i="5"/>
  <c r="BL31" i="5" s="1"/>
  <c r="BH31" i="5"/>
  <c r="BM31" i="5" s="1"/>
  <c r="BH167" i="5"/>
  <c r="BM167" i="5" s="1"/>
  <c r="BG167" i="5"/>
  <c r="BL167" i="5" s="1"/>
  <c r="BH297" i="5"/>
  <c r="BM297" i="5" s="1"/>
  <c r="BH121" i="5"/>
  <c r="BM121" i="5" s="1"/>
  <c r="BH26" i="5"/>
  <c r="BM26" i="5" s="1"/>
  <c r="BG26" i="5"/>
  <c r="BL26" i="5" s="1"/>
  <c r="BG348" i="5"/>
  <c r="BL348" i="5" s="1"/>
  <c r="BH348" i="5"/>
  <c r="BM348" i="5" s="1"/>
  <c r="BH423" i="5"/>
  <c r="BM423" i="5" s="1"/>
  <c r="BG423" i="5"/>
  <c r="BL423" i="5" s="1"/>
  <c r="BH23" i="5"/>
  <c r="BM23" i="5" s="1"/>
  <c r="BG23" i="5"/>
  <c r="BL23" i="5" s="1"/>
  <c r="BH312" i="5"/>
  <c r="BM312" i="5" s="1"/>
  <c r="BG312" i="5"/>
  <c r="BL312" i="5" s="1"/>
  <c r="BG246" i="5"/>
  <c r="BL246" i="5" s="1"/>
  <c r="BH246" i="5"/>
  <c r="BM246" i="5" s="1"/>
  <c r="BH437" i="5"/>
  <c r="BM437" i="5" s="1"/>
  <c r="BG535" i="5"/>
  <c r="BL535" i="5" s="1"/>
  <c r="BH535" i="5"/>
  <c r="BM535" i="5" s="1"/>
  <c r="BH415" i="5"/>
  <c r="BM415" i="5" s="1"/>
  <c r="BG415" i="5"/>
  <c r="BL415" i="5" s="1"/>
  <c r="BH104" i="5"/>
  <c r="BM104" i="5" s="1"/>
  <c r="BG104" i="5"/>
  <c r="BL104" i="5" s="1"/>
  <c r="BH210" i="5"/>
  <c r="BM210" i="5" s="1"/>
  <c r="BG210" i="5"/>
  <c r="BL210" i="5" s="1"/>
  <c r="BG168" i="5"/>
  <c r="BL168" i="5" s="1"/>
  <c r="BH168" i="5"/>
  <c r="BM168" i="5" s="1"/>
  <c r="BH242" i="5"/>
  <c r="BM242" i="5" s="1"/>
  <c r="BG284" i="5"/>
  <c r="BL284" i="5" s="1"/>
  <c r="BH284" i="5"/>
  <c r="BM284" i="5" s="1"/>
  <c r="BH314" i="5"/>
  <c r="BM314" i="5" s="1"/>
  <c r="BG419" i="5"/>
  <c r="BL419" i="5" s="1"/>
  <c r="BG261" i="5"/>
  <c r="BL261" i="5" s="1"/>
  <c r="BH291" i="5"/>
  <c r="BM291" i="5" s="1"/>
  <c r="BH287" i="5"/>
  <c r="BM287" i="5" s="1"/>
  <c r="BG295" i="5"/>
  <c r="BL295" i="5" s="1"/>
  <c r="BH295" i="5"/>
  <c r="BM295" i="5" s="1"/>
  <c r="BH400" i="5"/>
  <c r="BM400" i="5" s="1"/>
  <c r="BG400" i="5"/>
  <c r="BL400" i="5" s="1"/>
  <c r="BH199" i="5"/>
  <c r="BM199" i="5" s="1"/>
  <c r="BG199" i="5"/>
  <c r="BL199" i="5" s="1"/>
  <c r="BG552" i="5"/>
  <c r="BL552" i="5" s="1"/>
  <c r="BG68" i="5"/>
  <c r="BL68" i="5" s="1"/>
  <c r="BH68" i="5"/>
  <c r="BM68" i="5" s="1"/>
  <c r="BG73" i="5"/>
  <c r="BL73" i="5" s="1"/>
  <c r="BH73" i="5"/>
  <c r="BM73" i="5" s="1"/>
  <c r="BH165" i="5"/>
  <c r="BM165" i="5" s="1"/>
  <c r="BG165" i="5"/>
  <c r="BL165" i="5" s="1"/>
  <c r="BG80" i="5"/>
  <c r="BL80" i="5" s="1"/>
  <c r="BH80" i="5"/>
  <c r="BM80" i="5" s="1"/>
  <c r="BH285" i="5"/>
  <c r="BM285" i="5" s="1"/>
  <c r="BG285" i="5"/>
  <c r="BL285" i="5" s="1"/>
  <c r="BH254" i="5"/>
  <c r="BM254" i="5" s="1"/>
  <c r="BG254" i="5"/>
  <c r="BL254" i="5" s="1"/>
  <c r="BG170" i="5"/>
  <c r="BL170" i="5" s="1"/>
  <c r="BH170" i="5"/>
  <c r="BM170" i="5" s="1"/>
  <c r="BG474" i="5"/>
  <c r="BL474" i="5" s="1"/>
  <c r="BH474" i="5"/>
  <c r="BM474" i="5" s="1"/>
  <c r="BG292" i="5"/>
  <c r="BL292" i="5" s="1"/>
  <c r="BH28" i="5"/>
  <c r="BM28" i="5" s="1"/>
  <c r="BG28" i="5"/>
  <c r="BL28" i="5" s="1"/>
  <c r="BG40" i="5"/>
  <c r="BL40" i="5" s="1"/>
  <c r="BH40" i="5"/>
  <c r="BM40" i="5" s="1"/>
  <c r="BH302" i="5"/>
  <c r="BM302" i="5" s="1"/>
  <c r="BH140" i="5"/>
  <c r="BM140" i="5" s="1"/>
  <c r="BH529" i="5"/>
  <c r="BM529" i="5" s="1"/>
  <c r="BG529" i="5"/>
  <c r="BL529" i="5" s="1"/>
  <c r="BG518" i="5"/>
  <c r="BL518" i="5" s="1"/>
  <c r="BH518" i="5"/>
  <c r="BM518" i="5" s="1"/>
  <c r="BG122" i="5"/>
  <c r="BL122" i="5" s="1"/>
  <c r="BH122" i="5"/>
  <c r="BM122" i="5" s="1"/>
  <c r="BH404" i="5"/>
  <c r="BM404" i="5" s="1"/>
  <c r="BG476" i="5"/>
  <c r="BL476" i="5" s="1"/>
  <c r="BH476" i="5"/>
  <c r="BM476" i="5" s="1"/>
  <c r="BH101" i="5"/>
  <c r="BM101" i="5" s="1"/>
  <c r="BG101" i="5"/>
  <c r="BL101" i="5" s="1"/>
  <c r="BG181" i="5"/>
  <c r="BL181" i="5" s="1"/>
  <c r="BH181" i="5"/>
  <c r="BM181" i="5" s="1"/>
  <c r="BH221" i="5"/>
  <c r="BM221" i="5" s="1"/>
  <c r="BH24" i="5"/>
  <c r="BM24" i="5" s="1"/>
  <c r="BH263" i="5"/>
  <c r="BM263" i="5" s="1"/>
  <c r="BH544" i="5"/>
  <c r="BM544" i="5" s="1"/>
  <c r="BG544" i="5"/>
  <c r="BL544" i="5" s="1"/>
  <c r="BH155" i="5"/>
  <c r="BM155" i="5" s="1"/>
  <c r="BG155" i="5"/>
  <c r="BL155" i="5" s="1"/>
  <c r="BG123" i="5"/>
  <c r="BL123" i="5" s="1"/>
  <c r="BH123" i="5"/>
  <c r="BM123" i="5" s="1"/>
  <c r="BG398" i="5"/>
  <c r="BL398" i="5" s="1"/>
  <c r="BH398" i="5"/>
  <c r="BM398" i="5" s="1"/>
  <c r="BH503" i="5"/>
  <c r="BM503" i="5" s="1"/>
  <c r="BG503" i="5"/>
  <c r="BL503" i="5" s="1"/>
  <c r="BH133" i="5"/>
  <c r="BM133" i="5" s="1"/>
  <c r="BH316" i="5"/>
  <c r="BM316" i="5" s="1"/>
  <c r="BG407" i="5"/>
  <c r="BL407" i="5" s="1"/>
  <c r="BH407" i="5"/>
  <c r="BM407" i="5" s="1"/>
  <c r="BH56" i="5"/>
  <c r="BM56" i="5" s="1"/>
  <c r="BG56" i="5"/>
  <c r="BL56" i="5" s="1"/>
  <c r="BH386" i="5"/>
  <c r="BM386" i="5" s="1"/>
  <c r="BG386" i="5"/>
  <c r="BL386" i="5" s="1"/>
  <c r="BH346" i="5"/>
  <c r="BM346" i="5" s="1"/>
  <c r="BG346" i="5"/>
  <c r="BL346" i="5" s="1"/>
  <c r="BG176" i="5"/>
  <c r="BL176" i="5" s="1"/>
  <c r="BH176" i="5"/>
  <c r="BM176" i="5" s="1"/>
  <c r="BG98" i="5"/>
  <c r="BL98" i="5" s="1"/>
  <c r="BH98" i="5"/>
  <c r="BM98" i="5" s="1"/>
  <c r="BG307" i="5"/>
  <c r="BL307" i="5" s="1"/>
  <c r="BH307" i="5"/>
  <c r="BM307" i="5" s="1"/>
  <c r="BH243" i="5"/>
  <c r="BM243" i="5" s="1"/>
  <c r="BG243" i="5"/>
  <c r="BL243" i="5" s="1"/>
  <c r="BG11" i="5" l="1"/>
  <c r="AO148" i="4"/>
  <c r="AC75" i="4"/>
  <c r="AD75" i="4" s="1"/>
  <c r="AO75" i="4"/>
  <c r="AG75" i="4"/>
  <c r="AI75" i="4" s="1"/>
  <c r="AG114" i="4"/>
  <c r="AI114" i="4" s="1"/>
  <c r="AR114" i="4" s="1"/>
  <c r="AT114" i="4" s="1"/>
  <c r="AO116" i="4"/>
  <c r="AG129" i="4"/>
  <c r="AI129" i="4" s="1"/>
  <c r="AR129" i="4" s="1"/>
  <c r="AT129" i="4" s="1"/>
  <c r="AF88" i="4"/>
  <c r="AO88" i="4" s="1"/>
  <c r="BK11" i="5"/>
  <c r="AO109" i="4"/>
  <c r="AR109" i="4" s="1"/>
  <c r="AT109" i="4" s="1"/>
  <c r="AO154" i="4"/>
  <c r="AR154" i="4" s="1"/>
  <c r="AT154" i="4" s="1"/>
  <c r="AC54" i="4"/>
  <c r="AD54" i="4" s="1"/>
  <c r="AC82" i="4"/>
  <c r="AD82" i="4" s="1"/>
  <c r="AG99" i="4"/>
  <c r="AI99" i="4" s="1"/>
  <c r="AR99" i="4" s="1"/>
  <c r="AT99" i="4" s="1"/>
  <c r="AO14" i="4"/>
  <c r="AR14" i="4" s="1"/>
  <c r="AT14" i="4" s="1"/>
  <c r="AG107" i="4"/>
  <c r="AI107" i="4" s="1"/>
  <c r="AR107" i="4" s="1"/>
  <c r="AT107" i="4" s="1"/>
  <c r="AC156" i="4"/>
  <c r="AD156" i="4" s="1"/>
  <c r="AC51" i="4"/>
  <c r="AD51" i="4" s="1"/>
  <c r="AC37" i="4"/>
  <c r="AD37" i="4" s="1"/>
  <c r="AG131" i="4"/>
  <c r="AI131" i="4" s="1"/>
  <c r="AR131" i="4" s="1"/>
  <c r="AT131" i="4" s="1"/>
  <c r="AG137" i="4"/>
  <c r="AI137" i="4" s="1"/>
  <c r="AR137" i="4" s="1"/>
  <c r="AT137" i="4" s="1"/>
  <c r="AC99" i="4"/>
  <c r="AD99" i="4" s="1"/>
  <c r="AC57" i="4"/>
  <c r="AD57" i="4" s="1"/>
  <c r="AC84" i="4"/>
  <c r="AD84" i="4" s="1"/>
  <c r="AO57" i="4"/>
  <c r="AG57" i="4"/>
  <c r="AI57" i="4" s="1"/>
  <c r="AG97" i="4"/>
  <c r="AI97" i="4" s="1"/>
  <c r="AR97" i="4" s="1"/>
  <c r="AT97" i="4" s="1"/>
  <c r="AG121" i="4"/>
  <c r="AI121" i="4" s="1"/>
  <c r="AR121" i="4" s="1"/>
  <c r="AT121" i="4" s="1"/>
  <c r="AF52" i="4"/>
  <c r="AO52" i="4" s="1"/>
  <c r="AG153" i="4"/>
  <c r="AI153" i="4" s="1"/>
  <c r="AR153" i="4" s="1"/>
  <c r="AT153" i="4" s="1"/>
  <c r="AG145" i="4"/>
  <c r="AI145" i="4" s="1"/>
  <c r="AR145" i="4" s="1"/>
  <c r="AT145" i="4" s="1"/>
  <c r="AG113" i="4"/>
  <c r="AI113" i="4" s="1"/>
  <c r="AR113" i="4" s="1"/>
  <c r="AT113" i="4" s="1"/>
  <c r="AG144" i="4"/>
  <c r="AI144" i="4" s="1"/>
  <c r="AR144" i="4" s="1"/>
  <c r="AT144" i="4" s="1"/>
  <c r="AC83" i="4"/>
  <c r="AD83" i="4" s="1"/>
  <c r="AF83" i="4"/>
  <c r="AG84" i="4"/>
  <c r="AI84" i="4" s="1"/>
  <c r="AR84" i="4" s="1"/>
  <c r="AT84" i="4" s="1"/>
  <c r="AG118" i="4"/>
  <c r="AI118" i="4" s="1"/>
  <c r="AR118" i="4" s="1"/>
  <c r="AT118" i="4" s="1"/>
  <c r="AF62" i="4"/>
  <c r="AO62" i="4" s="1"/>
  <c r="AG51" i="4"/>
  <c r="AI51" i="4" s="1"/>
  <c r="AO51" i="4"/>
  <c r="AK43" i="4"/>
  <c r="AG34" i="4"/>
  <c r="AI34" i="4" s="1"/>
  <c r="AR34" i="4" s="1"/>
  <c r="AT34" i="4" s="1"/>
  <c r="AK81" i="4"/>
  <c r="AG117" i="4"/>
  <c r="AI117" i="4" s="1"/>
  <c r="AR117" i="4" s="1"/>
  <c r="AT117" i="4" s="1"/>
  <c r="AO124" i="4"/>
  <c r="AR124" i="4" s="1"/>
  <c r="AT124" i="4" s="1"/>
  <c r="AK74" i="4"/>
  <c r="AO136" i="4"/>
  <c r="AR136" i="4" s="1"/>
  <c r="AT136" i="4" s="1"/>
  <c r="AO54" i="4"/>
  <c r="AG54" i="4"/>
  <c r="AI54" i="4" s="1"/>
  <c r="AF49" i="4"/>
  <c r="AO49" i="4" s="1"/>
  <c r="AF50" i="4"/>
  <c r="AF150" i="4"/>
  <c r="AF13" i="4"/>
  <c r="AO13" i="4" s="1"/>
  <c r="AG147" i="4"/>
  <c r="AI147" i="4" s="1"/>
  <c r="AR147" i="4" s="1"/>
  <c r="AT147" i="4" s="1"/>
  <c r="AG133" i="4"/>
  <c r="AI133" i="4" s="1"/>
  <c r="AR133" i="4" s="1"/>
  <c r="AT133" i="4" s="1"/>
  <c r="AA96" i="4"/>
  <c r="AF96" i="4" s="1"/>
  <c r="AC112" i="4"/>
  <c r="AD112" i="4" s="1"/>
  <c r="AF112" i="4"/>
  <c r="AF81" i="4"/>
  <c r="AC81" i="4"/>
  <c r="AD81" i="4" s="1"/>
  <c r="AC74" i="4"/>
  <c r="AD74" i="4" s="1"/>
  <c r="AF74" i="4"/>
  <c r="X103" i="4"/>
  <c r="AK103" i="4" s="1"/>
  <c r="X101" i="4"/>
  <c r="AA101" i="4" s="1"/>
  <c r="AF101" i="4" s="1"/>
  <c r="X157" i="4"/>
  <c r="AK157" i="4" s="1"/>
  <c r="X68" i="4"/>
  <c r="AK68" i="4" s="1"/>
  <c r="X77" i="4"/>
  <c r="AK77" i="4" s="1"/>
  <c r="X111" i="4"/>
  <c r="AK111" i="4" s="1"/>
  <c r="X152" i="4"/>
  <c r="AA152" i="4" s="1"/>
  <c r="AC152" i="4" s="1"/>
  <c r="AD152" i="4" s="1"/>
  <c r="X61" i="4"/>
  <c r="AA61" i="4" s="1"/>
  <c r="AF61" i="4" s="1"/>
  <c r="X76" i="4"/>
  <c r="AA76" i="4" s="1"/>
  <c r="AF76" i="4" s="1"/>
  <c r="AA141" i="4"/>
  <c r="AF141" i="4" s="1"/>
  <c r="X93" i="4"/>
  <c r="AA93" i="4" s="1"/>
  <c r="AF93" i="4" s="1"/>
  <c r="X134" i="4"/>
  <c r="AK134" i="4" s="1"/>
  <c r="AC73" i="4"/>
  <c r="AD73" i="4" s="1"/>
  <c r="AF73" i="4"/>
  <c r="AC123" i="4"/>
  <c r="AD123" i="4" s="1"/>
  <c r="AF123" i="4"/>
  <c r="AC67" i="4"/>
  <c r="AD67" i="4" s="1"/>
  <c r="AF67" i="4"/>
  <c r="AF86" i="4"/>
  <c r="AC86" i="4"/>
  <c r="AD86" i="4" s="1"/>
  <c r="X143" i="4"/>
  <c r="AA143" i="4" s="1"/>
  <c r="X108" i="4"/>
  <c r="AA108" i="4" s="1"/>
  <c r="AC108" i="4" s="1"/>
  <c r="AD108" i="4" s="1"/>
  <c r="X126" i="4"/>
  <c r="AA126" i="4" s="1"/>
  <c r="X64" i="4"/>
  <c r="AK64" i="4" s="1"/>
  <c r="X56" i="4"/>
  <c r="AA56" i="4" s="1"/>
  <c r="X96" i="4"/>
  <c r="AK96" i="4" s="1"/>
  <c r="X127" i="4"/>
  <c r="AA127" i="4" s="1"/>
  <c r="X132" i="4"/>
  <c r="AA132" i="4" s="1"/>
  <c r="X128" i="4"/>
  <c r="AA128" i="4" s="1"/>
  <c r="X119" i="4"/>
  <c r="AK119" i="4" s="1"/>
  <c r="X70" i="4"/>
  <c r="AA70" i="4" s="1"/>
  <c r="X85" i="4"/>
  <c r="AK85" i="4" s="1"/>
  <c r="X95" i="4"/>
  <c r="AA95" i="4" s="1"/>
  <c r="X149" i="4"/>
  <c r="AK149" i="4" s="1"/>
  <c r="AA48" i="4"/>
  <c r="AC48" i="4" s="1"/>
  <c r="AD48" i="4" s="1"/>
  <c r="AC104" i="4"/>
  <c r="AD104" i="4" s="1"/>
  <c r="AF104" i="4"/>
  <c r="AK112" i="4"/>
  <c r="AF105" i="4"/>
  <c r="AC105" i="4"/>
  <c r="AD105" i="4" s="1"/>
  <c r="AF125" i="4"/>
  <c r="AC125" i="4"/>
  <c r="AD125" i="4" s="1"/>
  <c r="AC106" i="4"/>
  <c r="AD106" i="4" s="1"/>
  <c r="AF106" i="4"/>
  <c r="AA89" i="4"/>
  <c r="X135" i="4"/>
  <c r="AK135" i="4" s="1"/>
  <c r="X151" i="4"/>
  <c r="AA151" i="4" s="1"/>
  <c r="X79" i="4"/>
  <c r="AA79" i="4" s="1"/>
  <c r="AF79" i="4" s="1"/>
  <c r="X142" i="4"/>
  <c r="AA142" i="4" s="1"/>
  <c r="AF142" i="4" s="1"/>
  <c r="AA119" i="4"/>
  <c r="AC119" i="4" s="1"/>
  <c r="AD119" i="4" s="1"/>
  <c r="X55" i="4"/>
  <c r="AA55" i="4" s="1"/>
  <c r="AF55" i="4" s="1"/>
  <c r="X58" i="4"/>
  <c r="AK58" i="4" s="1"/>
  <c r="X140" i="4"/>
  <c r="AA140" i="4" s="1"/>
  <c r="AF140" i="4" s="1"/>
  <c r="X90" i="4"/>
  <c r="AA90" i="4" s="1"/>
  <c r="AC90" i="4" s="1"/>
  <c r="AD90" i="4" s="1"/>
  <c r="AA71" i="4"/>
  <c r="AF71" i="4" s="1"/>
  <c r="X66" i="4"/>
  <c r="AA66" i="4" s="1"/>
  <c r="X100" i="4"/>
  <c r="AK100" i="4" s="1"/>
  <c r="AC60" i="4"/>
  <c r="AD60" i="4" s="1"/>
  <c r="AF60" i="4"/>
  <c r="AF102" i="4"/>
  <c r="AC102" i="4"/>
  <c r="AD102" i="4" s="1"/>
  <c r="AA103" i="4"/>
  <c r="AC103" i="4" s="1"/>
  <c r="AD103" i="4" s="1"/>
  <c r="X69" i="4"/>
  <c r="AA69" i="4" s="1"/>
  <c r="AC69" i="4" s="1"/>
  <c r="AD69" i="4" s="1"/>
  <c r="X98" i="4"/>
  <c r="AA98" i="4" s="1"/>
  <c r="AF98" i="4" s="1"/>
  <c r="AA135" i="4"/>
  <c r="AF135" i="4" s="1"/>
  <c r="AA157" i="4"/>
  <c r="AC157" i="4" s="1"/>
  <c r="AD157" i="4" s="1"/>
  <c r="AA68" i="4"/>
  <c r="AC68" i="4" s="1"/>
  <c r="AD68" i="4" s="1"/>
  <c r="X53" i="4"/>
  <c r="AA53" i="4" s="1"/>
  <c r="AC53" i="4" s="1"/>
  <c r="AD53" i="4" s="1"/>
  <c r="X78" i="4"/>
  <c r="AA78" i="4" s="1"/>
  <c r="AF78" i="4" s="1"/>
  <c r="X87" i="4"/>
  <c r="AA87" i="4" s="1"/>
  <c r="AF87" i="4" s="1"/>
  <c r="AA111" i="4"/>
  <c r="AC111" i="4" s="1"/>
  <c r="AD111" i="4" s="1"/>
  <c r="X130" i="4"/>
  <c r="AA130" i="4" s="1"/>
  <c r="AC130" i="4" s="1"/>
  <c r="AD130" i="4" s="1"/>
  <c r="X120" i="4"/>
  <c r="AA120" i="4" s="1"/>
  <c r="X63" i="4"/>
  <c r="AA63" i="4" s="1"/>
  <c r="AC63" i="4" s="1"/>
  <c r="AD63" i="4" s="1"/>
  <c r="AA134" i="4"/>
  <c r="AC134" i="4" s="1"/>
  <c r="AD134" i="4" s="1"/>
  <c r="X110" i="4"/>
  <c r="AA110" i="4" s="1"/>
  <c r="AC110" i="4" s="1"/>
  <c r="AD110" i="4" s="1"/>
  <c r="AA100" i="4"/>
  <c r="AC100" i="4" s="1"/>
  <c r="AD100" i="4" s="1"/>
  <c r="AF146" i="4"/>
  <c r="AO146" i="4" s="1"/>
  <c r="AC114" i="4"/>
  <c r="AD114" i="4" s="1"/>
  <c r="AF155" i="4"/>
  <c r="AC155" i="4"/>
  <c r="AD155" i="4" s="1"/>
  <c r="AF92" i="4"/>
  <c r="AC92" i="4"/>
  <c r="AD92" i="4" s="1"/>
  <c r="AC65" i="4"/>
  <c r="AD65" i="4" s="1"/>
  <c r="AF65" i="4"/>
  <c r="BK9" i="5"/>
  <c r="AF15" i="4"/>
  <c r="AG15" i="4" s="1"/>
  <c r="AI15" i="4" s="1"/>
  <c r="AG45" i="4"/>
  <c r="AI45" i="4" s="1"/>
  <c r="AR45" i="4" s="1"/>
  <c r="AT45" i="4" s="1"/>
  <c r="AF29" i="4"/>
  <c r="AC29" i="4"/>
  <c r="AD29" i="4" s="1"/>
  <c r="AC28" i="4"/>
  <c r="AD28" i="4" s="1"/>
  <c r="AC25" i="4"/>
  <c r="AD25" i="4" s="1"/>
  <c r="AF25" i="4"/>
  <c r="AK44" i="4"/>
  <c r="AC27" i="4"/>
  <c r="AD27" i="4" s="1"/>
  <c r="X47" i="4"/>
  <c r="AA47" i="4" s="1"/>
  <c r="AC42" i="4"/>
  <c r="AD42" i="4" s="1"/>
  <c r="X46" i="4"/>
  <c r="AA46" i="4" s="1"/>
  <c r="AF41" i="4"/>
  <c r="AC43" i="4"/>
  <c r="AD43" i="4" s="1"/>
  <c r="AF43" i="4"/>
  <c r="AG42" i="4"/>
  <c r="AI42" i="4" s="1"/>
  <c r="AO42" i="4"/>
  <c r="AA44" i="4"/>
  <c r="AF44" i="4" s="1"/>
  <c r="AC24" i="4"/>
  <c r="AD24" i="4" s="1"/>
  <c r="AF24" i="4"/>
  <c r="X39" i="4"/>
  <c r="AA39" i="4" s="1"/>
  <c r="AF39" i="4" s="1"/>
  <c r="AF35" i="4"/>
  <c r="X40" i="4"/>
  <c r="AA40" i="4" s="1"/>
  <c r="AC40" i="4" s="1"/>
  <c r="AD40" i="4" s="1"/>
  <c r="X38" i="4"/>
  <c r="AA38" i="4" s="1"/>
  <c r="AF38" i="4" s="1"/>
  <c r="AF36" i="4"/>
  <c r="AC36" i="4"/>
  <c r="AD36" i="4" s="1"/>
  <c r="AF33" i="4"/>
  <c r="AC33" i="4"/>
  <c r="AD33" i="4" s="1"/>
  <c r="X32" i="4"/>
  <c r="AA32" i="4" s="1"/>
  <c r="AC32" i="4" s="1"/>
  <c r="AD32" i="4" s="1"/>
  <c r="AC30" i="4"/>
  <c r="AD30" i="4" s="1"/>
  <c r="AF30" i="4"/>
  <c r="AF26" i="4"/>
  <c r="AF31" i="4"/>
  <c r="AC31" i="4"/>
  <c r="AD31" i="4" s="1"/>
  <c r="X23" i="4"/>
  <c r="AA23" i="4" s="1"/>
  <c r="AA12" i="4"/>
  <c r="AF12" i="4" s="1"/>
  <c r="AR94" i="4"/>
  <c r="AT94" i="4" s="1"/>
  <c r="AK19" i="4"/>
  <c r="AR116" i="4"/>
  <c r="AT116" i="4" s="1"/>
  <c r="AR139" i="4"/>
  <c r="AT139" i="4" s="1"/>
  <c r="AK20" i="4"/>
  <c r="AK21" i="4"/>
  <c r="AR148" i="4"/>
  <c r="AT148" i="4" s="1"/>
  <c r="AC10" i="4"/>
  <c r="AD10" i="4" s="1"/>
  <c r="AF10" i="4"/>
  <c r="AC21" i="4"/>
  <c r="AD21" i="4" s="1"/>
  <c r="AF21" i="4"/>
  <c r="AF19" i="4"/>
  <c r="AC19" i="4"/>
  <c r="AD19" i="4" s="1"/>
  <c r="AF20" i="4"/>
  <c r="AC20" i="4"/>
  <c r="AD20" i="4" s="1"/>
  <c r="AF16" i="4"/>
  <c r="AC16" i="4"/>
  <c r="AD16" i="4" s="1"/>
  <c r="AO37" i="4"/>
  <c r="AG37" i="4"/>
  <c r="AI37" i="4" s="1"/>
  <c r="AO115" i="4"/>
  <c r="AG115" i="4"/>
  <c r="AI115" i="4" s="1"/>
  <c r="AO122" i="4"/>
  <c r="AG122" i="4"/>
  <c r="AI122" i="4" s="1"/>
  <c r="AO59" i="4"/>
  <c r="AG59" i="4"/>
  <c r="AI59" i="4" s="1"/>
  <c r="AA18" i="4"/>
  <c r="AK10" i="4"/>
  <c r="AA22" i="4"/>
  <c r="AG82" i="4"/>
  <c r="AI82" i="4" s="1"/>
  <c r="AO82" i="4"/>
  <c r="AO156" i="4"/>
  <c r="AG156" i="4"/>
  <c r="AI156" i="4" s="1"/>
  <c r="AG11" i="4"/>
  <c r="AI11" i="4" s="1"/>
  <c r="AO11" i="4"/>
  <c r="AA9" i="4"/>
  <c r="AK16" i="4"/>
  <c r="AC138" i="4"/>
  <c r="AD138" i="4" s="1"/>
  <c r="AF138" i="4"/>
  <c r="AF17" i="4"/>
  <c r="AC17" i="4"/>
  <c r="AD17" i="4" s="1"/>
  <c r="AO28" i="4"/>
  <c r="AG28" i="4"/>
  <c r="AI28" i="4" s="1"/>
  <c r="AO80" i="4"/>
  <c r="AG80" i="4"/>
  <c r="AI80" i="4" s="1"/>
  <c r="AR72" i="4"/>
  <c r="AT72" i="4" s="1"/>
  <c r="AR91" i="4"/>
  <c r="AT91" i="4" s="1"/>
  <c r="AO27" i="4"/>
  <c r="AG27" i="4"/>
  <c r="AI27" i="4" s="1"/>
  <c r="AO8" i="4"/>
  <c r="AG8" i="4"/>
  <c r="AI8" i="4" s="1"/>
  <c r="AC7" i="4"/>
  <c r="AD7" i="4" s="1"/>
  <c r="AF7" i="4"/>
  <c r="AG7" i="4" s="1"/>
  <c r="AI7" i="4" s="1"/>
  <c r="BH7" i="5"/>
  <c r="BM7" i="5" s="1"/>
  <c r="BG7" i="5"/>
  <c r="BL7" i="5" s="1"/>
  <c r="B115" i="2"/>
  <c r="H28" i="1" s="1"/>
  <c r="BH9" i="5"/>
  <c r="BM9" i="5" s="1"/>
  <c r="BG9" i="5"/>
  <c r="BM11" i="5"/>
  <c r="BL11" i="5"/>
  <c r="BK10" i="5"/>
  <c r="BM10" i="5" s="1"/>
  <c r="BJ10" i="5"/>
  <c r="BL10" i="5" s="1"/>
  <c r="BJ9" i="5"/>
  <c r="AK7" i="4"/>
  <c r="B239" i="2"/>
  <c r="F73" i="1" s="1"/>
  <c r="AR75" i="4" l="1"/>
  <c r="AT75" i="4" s="1"/>
  <c r="AC71" i="4"/>
  <c r="AD71" i="4" s="1"/>
  <c r="AG88" i="4"/>
  <c r="AI88" i="4" s="1"/>
  <c r="AR88" i="4" s="1"/>
  <c r="AT88" i="4" s="1"/>
  <c r="AC61" i="4"/>
  <c r="AD61" i="4" s="1"/>
  <c r="AC76" i="4"/>
  <c r="AD76" i="4" s="1"/>
  <c r="AC142" i="4"/>
  <c r="AD142" i="4" s="1"/>
  <c r="AF103" i="4"/>
  <c r="AO103" i="4" s="1"/>
  <c r="AG49" i="4"/>
  <c r="AI49" i="4" s="1"/>
  <c r="AR49" i="4" s="1"/>
  <c r="AT49" i="4" s="1"/>
  <c r="AF130" i="4"/>
  <c r="AF100" i="4"/>
  <c r="AO100" i="4" s="1"/>
  <c r="AF63" i="4"/>
  <c r="AG63" i="4" s="1"/>
  <c r="AI63" i="4" s="1"/>
  <c r="AC87" i="4"/>
  <c r="AD87" i="4" s="1"/>
  <c r="AF157" i="4"/>
  <c r="AO157" i="4" s="1"/>
  <c r="AC55" i="4"/>
  <c r="AD55" i="4" s="1"/>
  <c r="AC93" i="4"/>
  <c r="AD93" i="4" s="1"/>
  <c r="AF152" i="4"/>
  <c r="AG152" i="4" s="1"/>
  <c r="AI152" i="4" s="1"/>
  <c r="AF48" i="4"/>
  <c r="AO48" i="4" s="1"/>
  <c r="AA85" i="4"/>
  <c r="AC85" i="4" s="1"/>
  <c r="AD85" i="4" s="1"/>
  <c r="AR57" i="4"/>
  <c r="AT57" i="4" s="1"/>
  <c r="AA77" i="4"/>
  <c r="AC77" i="4" s="1"/>
  <c r="AD77" i="4" s="1"/>
  <c r="AG52" i="4"/>
  <c r="AI52" i="4" s="1"/>
  <c r="AR52" i="4" s="1"/>
  <c r="AT52" i="4" s="1"/>
  <c r="AR51" i="4"/>
  <c r="AT51" i="4" s="1"/>
  <c r="AO83" i="4"/>
  <c r="AG83" i="4"/>
  <c r="AI83" i="4" s="1"/>
  <c r="AR54" i="4"/>
  <c r="AT54" i="4" s="1"/>
  <c r="AF108" i="4"/>
  <c r="AO108" i="4" s="1"/>
  <c r="AG13" i="4"/>
  <c r="AI13" i="4" s="1"/>
  <c r="AR13" i="4" s="1"/>
  <c r="AT13" i="4" s="1"/>
  <c r="AF119" i="4"/>
  <c r="AG119" i="4" s="1"/>
  <c r="AI119" i="4" s="1"/>
  <c r="AC101" i="4"/>
  <c r="AD101" i="4" s="1"/>
  <c r="AC135" i="4"/>
  <c r="AD135" i="4" s="1"/>
  <c r="AG62" i="4"/>
  <c r="AI62" i="4" s="1"/>
  <c r="AR62" i="4" s="1"/>
  <c r="AT62" i="4" s="1"/>
  <c r="AC79" i="4"/>
  <c r="AD79" i="4" s="1"/>
  <c r="AC44" i="4"/>
  <c r="AD44" i="4" s="1"/>
  <c r="AF68" i="4"/>
  <c r="AG68" i="4" s="1"/>
  <c r="AI68" i="4" s="1"/>
  <c r="AO15" i="4"/>
  <c r="AR15" i="4" s="1"/>
  <c r="AT15" i="4" s="1"/>
  <c r="AC98" i="4"/>
  <c r="AD98" i="4" s="1"/>
  <c r="AF90" i="4"/>
  <c r="AO90" i="4" s="1"/>
  <c r="AF110" i="4"/>
  <c r="AO110" i="4" s="1"/>
  <c r="AC141" i="4"/>
  <c r="AD141" i="4" s="1"/>
  <c r="AC78" i="4"/>
  <c r="AD78" i="4" s="1"/>
  <c r="AF53" i="4"/>
  <c r="AG53" i="4" s="1"/>
  <c r="AI53" i="4" s="1"/>
  <c r="AA58" i="4"/>
  <c r="AF58" i="4" s="1"/>
  <c r="AO58" i="4" s="1"/>
  <c r="AO50" i="4"/>
  <c r="AG50" i="4"/>
  <c r="AI50" i="4" s="1"/>
  <c r="AO150" i="4"/>
  <c r="AG150" i="4"/>
  <c r="AI150" i="4" s="1"/>
  <c r="AF134" i="4"/>
  <c r="AG134" i="4" s="1"/>
  <c r="AI134" i="4" s="1"/>
  <c r="AC140" i="4"/>
  <c r="AD140" i="4" s="1"/>
  <c r="AF111" i="4"/>
  <c r="AO111" i="4" s="1"/>
  <c r="AG146" i="4"/>
  <c r="AI146" i="4" s="1"/>
  <c r="AR146" i="4" s="1"/>
  <c r="AT146" i="4" s="1"/>
  <c r="AK142" i="4"/>
  <c r="AK152" i="4"/>
  <c r="AK151" i="4"/>
  <c r="AK76" i="4"/>
  <c r="AK78" i="4"/>
  <c r="AF126" i="4"/>
  <c r="AG126" i="4" s="1"/>
  <c r="AI126" i="4" s="1"/>
  <c r="AC126" i="4"/>
  <c r="AD126" i="4" s="1"/>
  <c r="AC66" i="4"/>
  <c r="AD66" i="4" s="1"/>
  <c r="AF66" i="4"/>
  <c r="AO66" i="4" s="1"/>
  <c r="AC70" i="4"/>
  <c r="AD70" i="4" s="1"/>
  <c r="AF70" i="4"/>
  <c r="AO70" i="4" s="1"/>
  <c r="AF95" i="4"/>
  <c r="AO95" i="4" s="1"/>
  <c r="AC95" i="4"/>
  <c r="AD95" i="4" s="1"/>
  <c r="AC128" i="4"/>
  <c r="AD128" i="4" s="1"/>
  <c r="AF128" i="4"/>
  <c r="AO128" i="4" s="1"/>
  <c r="AF56" i="4"/>
  <c r="AO56" i="4" s="1"/>
  <c r="AC56" i="4"/>
  <c r="AD56" i="4" s="1"/>
  <c r="AC143" i="4"/>
  <c r="AD143" i="4" s="1"/>
  <c r="AF143" i="4"/>
  <c r="AG143" i="4" s="1"/>
  <c r="AI143" i="4" s="1"/>
  <c r="AF127" i="4"/>
  <c r="AG127" i="4" s="1"/>
  <c r="AI127" i="4" s="1"/>
  <c r="AC127" i="4"/>
  <c r="AD127" i="4" s="1"/>
  <c r="AC120" i="4"/>
  <c r="AD120" i="4" s="1"/>
  <c r="AF120" i="4"/>
  <c r="AO120" i="4" s="1"/>
  <c r="AF151" i="4"/>
  <c r="AO151" i="4" s="1"/>
  <c r="AC151" i="4"/>
  <c r="AD151" i="4" s="1"/>
  <c r="AC132" i="4"/>
  <c r="AD132" i="4" s="1"/>
  <c r="AF132" i="4"/>
  <c r="AO132" i="4" s="1"/>
  <c r="AG102" i="4"/>
  <c r="AI102" i="4" s="1"/>
  <c r="AO102" i="4"/>
  <c r="AO155" i="4"/>
  <c r="AG155" i="4"/>
  <c r="AI155" i="4" s="1"/>
  <c r="AK63" i="4"/>
  <c r="AK69" i="4"/>
  <c r="AO60" i="4"/>
  <c r="AG60" i="4"/>
  <c r="AI60" i="4" s="1"/>
  <c r="AK140" i="4"/>
  <c r="AK55" i="4"/>
  <c r="AO105" i="4"/>
  <c r="AG105" i="4"/>
  <c r="AI105" i="4" s="1"/>
  <c r="AK95" i="4"/>
  <c r="AK70" i="4"/>
  <c r="AK128" i="4"/>
  <c r="AK127" i="4"/>
  <c r="AK56" i="4"/>
  <c r="AK126" i="4"/>
  <c r="AK143" i="4"/>
  <c r="AK93" i="4"/>
  <c r="AA149" i="4"/>
  <c r="AA64" i="4"/>
  <c r="AG65" i="4"/>
  <c r="AI65" i="4" s="1"/>
  <c r="AO65" i="4"/>
  <c r="AO106" i="4"/>
  <c r="AG106" i="4"/>
  <c r="AI106" i="4" s="1"/>
  <c r="AG74" i="4"/>
  <c r="AI74" i="4" s="1"/>
  <c r="AO74" i="4"/>
  <c r="AO112" i="4"/>
  <c r="AG112" i="4"/>
  <c r="AI112" i="4" s="1"/>
  <c r="AC96" i="4"/>
  <c r="AD96" i="4" s="1"/>
  <c r="AF69" i="4"/>
  <c r="AG69" i="4" s="1"/>
  <c r="AI69" i="4" s="1"/>
  <c r="AK110" i="4"/>
  <c r="AK130" i="4"/>
  <c r="AK87" i="4"/>
  <c r="AK53" i="4"/>
  <c r="AK66" i="4"/>
  <c r="AK90" i="4"/>
  <c r="AK79" i="4"/>
  <c r="AO123" i="4"/>
  <c r="AG123" i="4"/>
  <c r="AI123" i="4" s="1"/>
  <c r="AK61" i="4"/>
  <c r="AK101" i="4"/>
  <c r="AG67" i="4"/>
  <c r="AI67" i="4" s="1"/>
  <c r="AO67" i="4"/>
  <c r="AO73" i="4"/>
  <c r="AG73" i="4"/>
  <c r="AI73" i="4" s="1"/>
  <c r="AO92" i="4"/>
  <c r="AG92" i="4"/>
  <c r="AI92" i="4" s="1"/>
  <c r="AK120" i="4"/>
  <c r="AK98" i="4"/>
  <c r="AF89" i="4"/>
  <c r="AC89" i="4"/>
  <c r="AD89" i="4" s="1"/>
  <c r="AG125" i="4"/>
  <c r="AI125" i="4" s="1"/>
  <c r="AO125" i="4"/>
  <c r="AG104" i="4"/>
  <c r="AI104" i="4" s="1"/>
  <c r="AO104" i="4"/>
  <c r="AK132" i="4"/>
  <c r="AK108" i="4"/>
  <c r="AO86" i="4"/>
  <c r="AG86" i="4"/>
  <c r="AI86" i="4" s="1"/>
  <c r="AG81" i="4"/>
  <c r="AI81" i="4" s="1"/>
  <c r="AO81" i="4"/>
  <c r="AC38" i="4"/>
  <c r="AD38" i="4" s="1"/>
  <c r="AF40" i="4"/>
  <c r="AO40" i="4" s="1"/>
  <c r="AO29" i="4"/>
  <c r="AG29" i="4"/>
  <c r="AI29" i="4" s="1"/>
  <c r="AF32" i="4"/>
  <c r="AO32" i="4" s="1"/>
  <c r="AO25" i="4"/>
  <c r="AG25" i="4"/>
  <c r="AI25" i="4" s="1"/>
  <c r="AC39" i="4"/>
  <c r="AD39" i="4" s="1"/>
  <c r="AF47" i="4"/>
  <c r="AO47" i="4" s="1"/>
  <c r="AC47" i="4"/>
  <c r="AD47" i="4" s="1"/>
  <c r="AK47" i="4"/>
  <c r="AF46" i="4"/>
  <c r="AO46" i="4" s="1"/>
  <c r="AC46" i="4"/>
  <c r="AD46" i="4" s="1"/>
  <c r="AG41" i="4"/>
  <c r="AI41" i="4" s="1"/>
  <c r="AO41" i="4"/>
  <c r="AK46" i="4"/>
  <c r="AR42" i="4"/>
  <c r="AT42" i="4" s="1"/>
  <c r="AO43" i="4"/>
  <c r="AG43" i="4"/>
  <c r="AI43" i="4" s="1"/>
  <c r="AO24" i="4"/>
  <c r="AG24" i="4"/>
  <c r="AI24" i="4" s="1"/>
  <c r="AK40" i="4"/>
  <c r="AO35" i="4"/>
  <c r="AG35" i="4"/>
  <c r="AI35" i="4" s="1"/>
  <c r="AK39" i="4"/>
  <c r="AK38" i="4"/>
  <c r="AG36" i="4"/>
  <c r="AI36" i="4" s="1"/>
  <c r="AO36" i="4"/>
  <c r="AO33" i="4"/>
  <c r="AG33" i="4"/>
  <c r="AI33" i="4" s="1"/>
  <c r="AO30" i="4"/>
  <c r="AG30" i="4"/>
  <c r="AI30" i="4" s="1"/>
  <c r="AO31" i="4"/>
  <c r="AG31" i="4"/>
  <c r="AI31" i="4" s="1"/>
  <c r="AO26" i="4"/>
  <c r="AG26" i="4"/>
  <c r="AI26" i="4" s="1"/>
  <c r="AK32" i="4"/>
  <c r="AC12" i="4"/>
  <c r="AD12" i="4" s="1"/>
  <c r="AC23" i="4"/>
  <c r="AD23" i="4" s="1"/>
  <c r="AF23" i="4"/>
  <c r="AG23" i="4" s="1"/>
  <c r="AI23" i="4" s="1"/>
  <c r="AK23" i="4"/>
  <c r="AR82" i="4"/>
  <c r="AT82" i="4" s="1"/>
  <c r="AR8" i="4"/>
  <c r="AT8" i="4" s="1"/>
  <c r="AR122" i="4"/>
  <c r="AT122" i="4" s="1"/>
  <c r="AR37" i="4"/>
  <c r="AT37" i="4" s="1"/>
  <c r="AR27" i="4"/>
  <c r="AT27" i="4" s="1"/>
  <c r="AR59" i="4"/>
  <c r="AT59" i="4" s="1"/>
  <c r="AR115" i="4"/>
  <c r="AT115" i="4" s="1"/>
  <c r="AR11" i="4"/>
  <c r="AT11" i="4" s="1"/>
  <c r="AO143" i="4"/>
  <c r="AO93" i="4"/>
  <c r="AG93" i="4"/>
  <c r="AI93" i="4" s="1"/>
  <c r="AO39" i="4"/>
  <c r="AG39" i="4"/>
  <c r="AI39" i="4" s="1"/>
  <c r="AO140" i="4"/>
  <c r="AG140" i="4"/>
  <c r="AI140" i="4" s="1"/>
  <c r="AO76" i="4"/>
  <c r="AG76" i="4"/>
  <c r="AI76" i="4" s="1"/>
  <c r="AO21" i="4"/>
  <c r="AG21" i="4"/>
  <c r="AI21" i="4" s="1"/>
  <c r="AO130" i="4"/>
  <c r="AG130" i="4"/>
  <c r="AI130" i="4" s="1"/>
  <c r="AO135" i="4"/>
  <c r="AG135" i="4"/>
  <c r="AI135" i="4" s="1"/>
  <c r="AO98" i="4"/>
  <c r="AG98" i="4"/>
  <c r="AI98" i="4" s="1"/>
  <c r="AO71" i="4"/>
  <c r="AG71" i="4"/>
  <c r="AI71" i="4" s="1"/>
  <c r="AO55" i="4"/>
  <c r="AG55" i="4"/>
  <c r="AI55" i="4" s="1"/>
  <c r="AO38" i="4"/>
  <c r="AG38" i="4"/>
  <c r="AI38" i="4" s="1"/>
  <c r="AO20" i="4"/>
  <c r="AG20" i="4"/>
  <c r="AI20" i="4" s="1"/>
  <c r="AG56" i="4"/>
  <c r="AI56" i="4" s="1"/>
  <c r="AG17" i="4"/>
  <c r="AI17" i="4" s="1"/>
  <c r="AO17" i="4"/>
  <c r="AO44" i="4"/>
  <c r="AG44" i="4"/>
  <c r="AI44" i="4" s="1"/>
  <c r="AC9" i="4"/>
  <c r="AD9" i="4" s="1"/>
  <c r="AF9" i="4"/>
  <c r="AO87" i="4"/>
  <c r="AG87" i="4"/>
  <c r="AI87" i="4" s="1"/>
  <c r="AO10" i="4"/>
  <c r="AG10" i="4"/>
  <c r="AI10" i="4" s="1"/>
  <c r="AR80" i="4"/>
  <c r="AT80" i="4" s="1"/>
  <c r="AO142" i="4"/>
  <c r="AG142" i="4"/>
  <c r="AI142" i="4" s="1"/>
  <c r="AO96" i="4"/>
  <c r="AG96" i="4"/>
  <c r="AI96" i="4" s="1"/>
  <c r="AO101" i="4"/>
  <c r="AG101" i="4"/>
  <c r="AI101" i="4" s="1"/>
  <c r="AR28" i="4"/>
  <c r="AT28" i="4" s="1"/>
  <c r="AO61" i="4"/>
  <c r="AG61" i="4"/>
  <c r="AI61" i="4" s="1"/>
  <c r="AO79" i="4"/>
  <c r="AG79" i="4"/>
  <c r="AI79" i="4" s="1"/>
  <c r="AO138" i="4"/>
  <c r="AG138" i="4"/>
  <c r="AI138" i="4" s="1"/>
  <c r="AR156" i="4"/>
  <c r="AT156" i="4" s="1"/>
  <c r="AC22" i="4"/>
  <c r="AD22" i="4" s="1"/>
  <c r="AF22" i="4"/>
  <c r="AG12" i="4"/>
  <c r="AI12" i="4" s="1"/>
  <c r="AO12" i="4"/>
  <c r="AC18" i="4"/>
  <c r="AD18" i="4" s="1"/>
  <c r="AF18" i="4"/>
  <c r="AO141" i="4"/>
  <c r="AG141" i="4"/>
  <c r="AI141" i="4" s="1"/>
  <c r="AO78" i="4"/>
  <c r="AG78" i="4"/>
  <c r="AI78" i="4" s="1"/>
  <c r="AG16" i="4"/>
  <c r="AI16" i="4" s="1"/>
  <c r="AO16" i="4"/>
  <c r="AG19" i="4"/>
  <c r="AI19" i="4" s="1"/>
  <c r="AO19" i="4"/>
  <c r="AO7" i="4"/>
  <c r="AR7" i="4" s="1"/>
  <c r="AT7" i="4" s="1"/>
  <c r="BL9" i="5"/>
  <c r="AO127" i="4" l="1"/>
  <c r="AG100" i="4"/>
  <c r="AI100" i="4" s="1"/>
  <c r="AG103" i="4"/>
  <c r="AI103" i="4" s="1"/>
  <c r="AO68" i="4"/>
  <c r="AO134" i="4"/>
  <c r="AO63" i="4"/>
  <c r="AG66" i="4"/>
  <c r="AI66" i="4" s="1"/>
  <c r="AR66" i="4" s="1"/>
  <c r="AT66" i="4" s="1"/>
  <c r="AG157" i="4"/>
  <c r="AI157" i="4" s="1"/>
  <c r="AR157" i="4" s="1"/>
  <c r="AT157" i="4" s="1"/>
  <c r="AG70" i="4"/>
  <c r="AI70" i="4" s="1"/>
  <c r="AR70" i="4" s="1"/>
  <c r="AT70" i="4" s="1"/>
  <c r="AG90" i="4"/>
  <c r="AI90" i="4" s="1"/>
  <c r="AR90" i="4" s="1"/>
  <c r="AT90" i="4" s="1"/>
  <c r="AG111" i="4"/>
  <c r="AI111" i="4" s="1"/>
  <c r="AR111" i="4" s="1"/>
  <c r="AT111" i="4" s="1"/>
  <c r="AG120" i="4"/>
  <c r="AI120" i="4" s="1"/>
  <c r="AR120" i="4" s="1"/>
  <c r="AT120" i="4" s="1"/>
  <c r="AG108" i="4"/>
  <c r="AI108" i="4" s="1"/>
  <c r="AR108" i="4" s="1"/>
  <c r="AT108" i="4" s="1"/>
  <c r="AG151" i="4"/>
  <c r="AI151" i="4" s="1"/>
  <c r="AO119" i="4"/>
  <c r="AR119" i="4" s="1"/>
  <c r="AT119" i="4" s="1"/>
  <c r="AO152" i="4"/>
  <c r="AR152" i="4" s="1"/>
  <c r="AT152" i="4" s="1"/>
  <c r="AO53" i="4"/>
  <c r="AR53" i="4" s="1"/>
  <c r="AT53" i="4" s="1"/>
  <c r="AG132" i="4"/>
  <c r="AI132" i="4" s="1"/>
  <c r="AR132" i="4" s="1"/>
  <c r="AT132" i="4" s="1"/>
  <c r="AG128" i="4"/>
  <c r="AI128" i="4" s="1"/>
  <c r="AR128" i="4" s="1"/>
  <c r="AT128" i="4" s="1"/>
  <c r="AG48" i="4"/>
  <c r="AI48" i="4" s="1"/>
  <c r="AR48" i="4" s="1"/>
  <c r="AT48" i="4" s="1"/>
  <c r="AF85" i="4"/>
  <c r="AO69" i="4"/>
  <c r="AR69" i="4" s="1"/>
  <c r="AT69" i="4" s="1"/>
  <c r="AF77" i="4"/>
  <c r="AO126" i="4"/>
  <c r="AR126" i="4" s="1"/>
  <c r="AT126" i="4" s="1"/>
  <c r="AG58" i="4"/>
  <c r="AI58" i="4" s="1"/>
  <c r="AR58" i="4" s="1"/>
  <c r="AT58" i="4" s="1"/>
  <c r="AG95" i="4"/>
  <c r="AI95" i="4" s="1"/>
  <c r="AR95" i="4" s="1"/>
  <c r="AT95" i="4" s="1"/>
  <c r="AG110" i="4"/>
  <c r="AI110" i="4" s="1"/>
  <c r="AR110" i="4" s="1"/>
  <c r="AT110" i="4" s="1"/>
  <c r="AC58" i="4"/>
  <c r="AD58" i="4" s="1"/>
  <c r="AR83" i="4"/>
  <c r="AT83" i="4" s="1"/>
  <c r="AG40" i="4"/>
  <c r="AI40" i="4" s="1"/>
  <c r="AR40" i="4" s="1"/>
  <c r="AT40" i="4" s="1"/>
  <c r="AG46" i="4"/>
  <c r="AI46" i="4" s="1"/>
  <c r="AR46" i="4" s="1"/>
  <c r="AT46" i="4" s="1"/>
  <c r="AR50" i="4"/>
  <c r="AT50" i="4" s="1"/>
  <c r="AR150" i="4"/>
  <c r="AT150" i="4" s="1"/>
  <c r="AR102" i="4"/>
  <c r="AT102" i="4" s="1"/>
  <c r="AR86" i="4"/>
  <c r="AT86" i="4" s="1"/>
  <c r="AR92" i="4"/>
  <c r="AT92" i="4" s="1"/>
  <c r="AR123" i="4"/>
  <c r="AT123" i="4" s="1"/>
  <c r="AR105" i="4"/>
  <c r="AT105" i="4" s="1"/>
  <c r="AR60" i="4"/>
  <c r="AT60" i="4" s="1"/>
  <c r="AR155" i="4"/>
  <c r="AT155" i="4" s="1"/>
  <c r="AR81" i="4"/>
  <c r="AT81" i="4" s="1"/>
  <c r="AR125" i="4"/>
  <c r="AT125" i="4" s="1"/>
  <c r="AR112" i="4"/>
  <c r="AT112" i="4" s="1"/>
  <c r="AR106" i="4"/>
  <c r="AT106" i="4" s="1"/>
  <c r="AF149" i="4"/>
  <c r="AC149" i="4"/>
  <c r="AD149" i="4" s="1"/>
  <c r="AR73" i="4"/>
  <c r="AT73" i="4" s="1"/>
  <c r="AR74" i="4"/>
  <c r="AT74" i="4" s="1"/>
  <c r="AR65" i="4"/>
  <c r="AT65" i="4" s="1"/>
  <c r="AO89" i="4"/>
  <c r="AG89" i="4"/>
  <c r="AI89" i="4" s="1"/>
  <c r="AC64" i="4"/>
  <c r="AD64" i="4" s="1"/>
  <c r="AF64" i="4"/>
  <c r="AR104" i="4"/>
  <c r="AT104" i="4" s="1"/>
  <c r="AR67" i="4"/>
  <c r="AT67" i="4" s="1"/>
  <c r="AG32" i="4"/>
  <c r="AI32" i="4" s="1"/>
  <c r="AR32" i="4" s="1"/>
  <c r="AT32" i="4" s="1"/>
  <c r="AR29" i="4"/>
  <c r="AT29" i="4" s="1"/>
  <c r="AG47" i="4"/>
  <c r="AI47" i="4" s="1"/>
  <c r="AR47" i="4" s="1"/>
  <c r="AT47" i="4" s="1"/>
  <c r="AR25" i="4"/>
  <c r="AT25" i="4" s="1"/>
  <c r="AR41" i="4"/>
  <c r="AT41" i="4" s="1"/>
  <c r="AR43" i="4"/>
  <c r="AT43" i="4" s="1"/>
  <c r="AR39" i="4"/>
  <c r="AT39" i="4" s="1"/>
  <c r="AR143" i="4"/>
  <c r="AT143" i="4" s="1"/>
  <c r="AR36" i="4"/>
  <c r="AT36" i="4" s="1"/>
  <c r="AR24" i="4"/>
  <c r="AT24" i="4" s="1"/>
  <c r="AR35" i="4"/>
  <c r="AT35" i="4" s="1"/>
  <c r="AO23" i="4"/>
  <c r="AR23" i="4" s="1"/>
  <c r="AT23" i="4" s="1"/>
  <c r="AR31" i="4"/>
  <c r="AT31" i="4" s="1"/>
  <c r="AR33" i="4"/>
  <c r="AT33" i="4" s="1"/>
  <c r="AR12" i="4"/>
  <c r="AT12" i="4" s="1"/>
  <c r="AR103" i="4"/>
  <c r="AT103" i="4" s="1"/>
  <c r="AR141" i="4"/>
  <c r="AT141" i="4" s="1"/>
  <c r="AR134" i="4"/>
  <c r="AT134" i="4" s="1"/>
  <c r="AR101" i="4"/>
  <c r="AT101" i="4" s="1"/>
  <c r="AR21" i="4"/>
  <c r="AT21" i="4" s="1"/>
  <c r="AR76" i="4"/>
  <c r="AT76" i="4" s="1"/>
  <c r="AR26" i="4"/>
  <c r="AT26" i="4" s="1"/>
  <c r="AR30" i="4"/>
  <c r="AT30" i="4" s="1"/>
  <c r="AR16" i="4"/>
  <c r="AT16" i="4" s="1"/>
  <c r="AR138" i="4"/>
  <c r="AT138" i="4" s="1"/>
  <c r="AR61" i="4"/>
  <c r="AT61" i="4" s="1"/>
  <c r="AR56" i="4"/>
  <c r="AT56" i="4" s="1"/>
  <c r="AR55" i="4"/>
  <c r="AT55" i="4" s="1"/>
  <c r="AR63" i="4"/>
  <c r="AT63" i="4" s="1"/>
  <c r="AR140" i="4"/>
  <c r="AT140" i="4" s="1"/>
  <c r="AR93" i="4"/>
  <c r="AT93" i="4" s="1"/>
  <c r="AR68" i="4"/>
  <c r="AT68" i="4" s="1"/>
  <c r="AR78" i="4"/>
  <c r="AT78" i="4" s="1"/>
  <c r="AG18" i="4"/>
  <c r="AI18" i="4" s="1"/>
  <c r="AO18" i="4"/>
  <c r="AR96" i="4"/>
  <c r="AT96" i="4" s="1"/>
  <c r="AR142" i="4"/>
  <c r="AT142" i="4" s="1"/>
  <c r="AG9" i="4"/>
  <c r="AI9" i="4" s="1"/>
  <c r="AO9" i="4"/>
  <c r="AR100" i="4"/>
  <c r="AT100" i="4" s="1"/>
  <c r="AR135" i="4"/>
  <c r="AT135" i="4" s="1"/>
  <c r="AR127" i="4"/>
  <c r="AT127" i="4" s="1"/>
  <c r="AR17" i="4"/>
  <c r="AT17" i="4" s="1"/>
  <c r="AO22" i="4"/>
  <c r="AG22" i="4"/>
  <c r="AI22" i="4" s="1"/>
  <c r="AR19" i="4"/>
  <c r="AT19" i="4" s="1"/>
  <c r="AR79" i="4"/>
  <c r="AT79" i="4" s="1"/>
  <c r="AR10" i="4"/>
  <c r="AT10" i="4" s="1"/>
  <c r="AR87" i="4"/>
  <c r="AT87" i="4" s="1"/>
  <c r="AR151" i="4"/>
  <c r="AT151" i="4" s="1"/>
  <c r="AR44" i="4"/>
  <c r="AT44" i="4" s="1"/>
  <c r="AR20" i="4"/>
  <c r="AT20" i="4" s="1"/>
  <c r="AR38" i="4"/>
  <c r="AT38" i="4" s="1"/>
  <c r="AR71" i="4"/>
  <c r="AT71" i="4" s="1"/>
  <c r="AR98" i="4"/>
  <c r="AT98" i="4" s="1"/>
  <c r="AR130" i="4"/>
  <c r="AT130" i="4" s="1"/>
  <c r="H67" i="1"/>
  <c r="AO85" i="4" l="1"/>
  <c r="AG85" i="4"/>
  <c r="AI85" i="4" s="1"/>
  <c r="AG77" i="4"/>
  <c r="AI77" i="4" s="1"/>
  <c r="AO77" i="4"/>
  <c r="AR89" i="4"/>
  <c r="AT89" i="4" s="1"/>
  <c r="AG64" i="4"/>
  <c r="AI64" i="4" s="1"/>
  <c r="AO64" i="4"/>
  <c r="AG149" i="4"/>
  <c r="AI149" i="4" s="1"/>
  <c r="AO149" i="4"/>
  <c r="AR18" i="4"/>
  <c r="AT18" i="4" s="1"/>
  <c r="AR9" i="4"/>
  <c r="AT9" i="4" s="1"/>
  <c r="AR22" i="4"/>
  <c r="AT22" i="4" s="1"/>
  <c r="AR85" i="4" l="1"/>
  <c r="AT85" i="4" s="1"/>
  <c r="AR77" i="4"/>
  <c r="AT77" i="4" s="1"/>
  <c r="AR149" i="4"/>
  <c r="AT149" i="4" s="1"/>
  <c r="AR64" i="4"/>
  <c r="AT64"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A3" authorId="0" shapeId="0" xr:uid="{00000000-0006-0000-0000-000001000000}">
      <text>
        <r>
          <rPr>
            <b/>
            <sz val="11"/>
            <color indexed="10"/>
            <rFont val="Tahoma"/>
            <family val="2"/>
          </rPr>
          <t>Welcome to the LM5155 Design Tool</t>
        </r>
        <r>
          <rPr>
            <sz val="9"/>
            <color indexed="81"/>
            <rFont val="Tahoma"/>
            <family val="2"/>
          </rPr>
          <t xml:space="preserve">
This stand-alone tool facilitates and assists the power supply engineer with design of a DC-DC boost converter based on the LM5155 SEPIC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O3" authorId="0" shapeId="0" xr:uid="{00000000-0006-0000-0000-000002000000}">
      <text>
        <r>
          <rPr>
            <sz val="9"/>
            <color indexed="81"/>
            <rFont val="Tahoma"/>
            <family val="2"/>
          </rPr>
          <t xml:space="preserve">
</t>
        </r>
        <r>
          <rPr>
            <sz val="12"/>
            <color indexed="10"/>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The most recent version of this excel file can be found in the product folder of the part at TI.com. To activate all functions, Macro should be enabled and 'Analysis Toolpak' should be added in. 
</t>
        </r>
      </text>
    </comment>
    <comment ref="G7" authorId="0" shapeId="0" xr:uid="{00000000-0006-0000-0000-000003000000}">
      <text>
        <r>
          <rPr>
            <b/>
            <sz val="9"/>
            <color indexed="81"/>
            <rFont val="Tahoma"/>
            <family val="2"/>
          </rPr>
          <t xml:space="preserve">Minimum Input Voltage:
</t>
        </r>
        <r>
          <rPr>
            <sz val="9"/>
            <color indexed="81"/>
            <rFont val="Tahoma"/>
            <family val="2"/>
          </rPr>
          <t>Enter the minimum operating input voltage.
The LM5155 iBIAS pin voltage operating range is 3.5V to 45V.
If low voltage operation is required the BIAS pin can be supplied with V</t>
        </r>
        <r>
          <rPr>
            <vertAlign val="subscript"/>
            <sz val="9"/>
            <color indexed="81"/>
            <rFont val="Tahoma"/>
            <family val="2"/>
          </rPr>
          <t>OUT</t>
        </r>
        <r>
          <rPr>
            <sz val="9"/>
            <color indexed="81"/>
            <rFont val="Tahoma"/>
            <family val="2"/>
          </rPr>
          <t xml:space="preserve"> extending operation to 1.5V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45V
-The input voltage is below 1.5V</t>
        </r>
      </text>
    </comment>
    <comment ref="G8" authorId="0" shapeId="0" xr:uid="{00000000-0006-0000-0000-000004000000}">
      <text>
        <r>
          <rPr>
            <b/>
            <sz val="9"/>
            <color indexed="81"/>
            <rFont val="Tahoma"/>
            <family val="2"/>
          </rPr>
          <t xml:space="preserve">Nominal Input Voltage:
</t>
        </r>
        <r>
          <rPr>
            <sz val="9"/>
            <color indexed="81"/>
            <rFont val="Tahoma"/>
            <family val="2"/>
          </rPr>
          <t>Enter the nominal operating input voltage.
The LM5155 input voltage operating range is 1.5V to 45V.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V</t>
        </r>
        <r>
          <rPr>
            <vertAlign val="subscript"/>
            <sz val="9"/>
            <color indexed="81"/>
            <rFont val="Tahoma"/>
            <family val="2"/>
          </rPr>
          <t>SUPPLY</t>
        </r>
        <r>
          <rPr>
            <sz val="9"/>
            <color indexed="81"/>
            <rFont val="Tahoma"/>
            <family val="2"/>
          </rPr>
          <t>(max)
-The input voltage is below V</t>
        </r>
        <r>
          <rPr>
            <vertAlign val="subscript"/>
            <sz val="9"/>
            <color indexed="81"/>
            <rFont val="Tahoma"/>
            <family val="2"/>
          </rPr>
          <t>SUPPLY</t>
        </r>
        <r>
          <rPr>
            <sz val="9"/>
            <color indexed="81"/>
            <rFont val="Tahoma"/>
            <family val="2"/>
          </rPr>
          <t>(min)</t>
        </r>
      </text>
    </comment>
    <comment ref="G9" authorId="0" shapeId="0" xr:uid="{00000000-0006-0000-0000-000005000000}">
      <text>
        <r>
          <rPr>
            <b/>
            <sz val="9"/>
            <color indexed="81"/>
            <rFont val="Tahoma"/>
            <family val="2"/>
          </rPr>
          <t>Maximum Input Voltage:</t>
        </r>
        <r>
          <rPr>
            <sz val="9"/>
            <color indexed="81"/>
            <rFont val="Tahoma"/>
            <family val="2"/>
          </rPr>
          <t xml:space="preserve">
Enter the maximum operating input voltage.
The LM5155 input voltage operating range is 1.5V to 45V.
</t>
        </r>
        <r>
          <rPr>
            <b/>
            <sz val="9"/>
            <color indexed="10"/>
            <rFont val="Tahoma"/>
            <family val="2"/>
          </rPr>
          <t xml:space="preserve">
The text in the cell is flagged red if:</t>
        </r>
        <r>
          <rPr>
            <sz val="9"/>
            <color indexed="81"/>
            <rFont val="Tahoma"/>
            <family val="2"/>
          </rPr>
          <t xml:space="preserve">
-The input voltage is above 45V. Note the LM5156 is rated for 60V
-The input voltage is below 1.5V</t>
        </r>
      </text>
    </comment>
    <comment ref="G10" authorId="0" shapeId="0" xr:uid="{00000000-0006-0000-0000-000006000000}">
      <text>
        <r>
          <rPr>
            <b/>
            <sz val="9"/>
            <color indexed="81"/>
            <rFont val="Tahoma"/>
            <family val="2"/>
          </rPr>
          <t>Output Voltage:</t>
        </r>
        <r>
          <rPr>
            <sz val="9"/>
            <color indexed="81"/>
            <rFont val="Tahoma"/>
            <family val="2"/>
          </rPr>
          <t xml:space="preserve">
Enter the desired output voltage.
</t>
        </r>
      </text>
    </comment>
    <comment ref="G12" authorId="0" shapeId="0" xr:uid="{00000000-0006-0000-0000-000007000000}">
      <text>
        <r>
          <rPr>
            <b/>
            <sz val="9"/>
            <color indexed="81"/>
            <rFont val="Tahoma"/>
            <family val="2"/>
          </rPr>
          <t>Operating Frequency (set by RT):</t>
        </r>
        <r>
          <rPr>
            <sz val="9"/>
            <color indexed="81"/>
            <rFont val="Tahoma"/>
            <family val="2"/>
          </rPr>
          <t xml:space="preserve">
This cell defines the free-running switching frequency set by the RT resistor. 
</t>
        </r>
        <r>
          <rPr>
            <sz val="11"/>
            <color indexed="10"/>
            <rFont val="Calibri"/>
            <family val="2"/>
            <scheme val="minor"/>
          </rPr>
          <t>The text in the cell is flagged red if:</t>
        </r>
        <r>
          <rPr>
            <sz val="9"/>
            <color indexed="81"/>
            <rFont val="Tahoma"/>
            <family val="2"/>
          </rPr>
          <t xml:space="preserve">
-The frequency is below 100 kHz
-The frequency is above 2.2 MHz</t>
        </r>
      </text>
    </comment>
    <comment ref="G15" authorId="0" shapeId="0" xr:uid="{00000000-0006-0000-0000-000008000000}">
      <text>
        <r>
          <rPr>
            <b/>
            <sz val="9"/>
            <color indexed="81"/>
            <rFont val="Tahoma"/>
            <family val="2"/>
          </rPr>
          <t xml:space="preserve">Maximum duty cycle
</t>
        </r>
        <r>
          <rPr>
            <sz val="9"/>
            <color indexed="81"/>
            <rFont val="Tahoma"/>
            <family val="2"/>
          </rPr>
          <t xml:space="preserve">Limit of the LM5155/56. See the datasheet for more detail on how the maximum duty cycle changes with switching frequency
</t>
        </r>
      </text>
    </comment>
    <comment ref="G16" authorId="0" shapeId="0" xr:uid="{00000000-0006-0000-0000-000009000000}">
      <text>
        <r>
          <rPr>
            <sz val="9"/>
            <color indexed="10"/>
            <rFont val="Tahoma"/>
            <family val="2"/>
          </rPr>
          <t xml:space="preserve">
</t>
        </r>
        <r>
          <rPr>
            <b/>
            <sz val="9"/>
            <color indexed="10"/>
            <rFont val="Tahoma"/>
            <family val="2"/>
          </rPr>
          <t>The text in the cell is flagged red if:</t>
        </r>
        <r>
          <rPr>
            <sz val="9"/>
            <color indexed="81"/>
            <rFont val="Tahoma"/>
            <family val="2"/>
          </rPr>
          <t xml:space="preserve">
</t>
        </r>
        <r>
          <rPr>
            <b/>
            <sz val="9"/>
            <color indexed="81"/>
            <rFont val="Tahoma"/>
            <family val="2"/>
          </rPr>
          <t>- Duty CCM duty cycle for the step up ratio is greater then the duty cycle limit of the LM5155/56. For high step-up ratio designs the regulator can be configured to operate in discontinous conduction mode (DCM) to achieve the step up ratio.</t>
        </r>
      </text>
    </comment>
    <comment ref="G19" authorId="0" shapeId="0" xr:uid="{00000000-0006-0000-0000-00000A000000}">
      <text>
        <r>
          <rPr>
            <b/>
            <sz val="9"/>
            <color indexed="81"/>
            <rFont val="Tahoma"/>
            <family val="2"/>
          </rPr>
          <t>BMC-BCS:</t>
        </r>
        <r>
          <rPr>
            <sz val="9"/>
            <color indexed="81"/>
            <rFont val="Tahoma"/>
            <family val="2"/>
          </rPr>
          <t xml:space="preserve">
CCM = Continous Conduction Mode
DCM  = Discontinous Conduction Mode</t>
        </r>
      </text>
    </comment>
    <comment ref="G20" authorId="0" shapeId="0" xr:uid="{00000000-0006-0000-0000-00000B000000}">
      <text>
        <r>
          <rPr>
            <b/>
            <sz val="9"/>
            <color indexed="81"/>
            <rFont val="Tahoma"/>
            <family val="2"/>
          </rPr>
          <t>Ripple Ratio</t>
        </r>
        <r>
          <rPr>
            <sz val="9"/>
            <color indexed="81"/>
            <rFont val="Tahoma"/>
            <family val="2"/>
          </rPr>
          <t xml:space="preserve">
Select the maximum ripple ratio of the inductor current. The maximum ripple ratio occurs when the duty cycle is 33%. 
Typically a good maximum ripple current is in the 50% to 70% range. In this range there is a good trade off between efficiency and the minimum RHP zero frequency of the plant
If cell H19 is equal to 1, this input cell is not condsidered as DCM operation is required to achieve the desired ste-up ratio. For the case the maximum duty cycyle is set to be 70%.</t>
        </r>
      </text>
    </comment>
    <comment ref="G22" authorId="0" shapeId="0" xr:uid="{00000000-0006-0000-0000-00000C000000}">
      <text>
        <r>
          <rPr>
            <b/>
            <sz val="9"/>
            <color indexed="81"/>
            <rFont val="Tahoma"/>
            <family val="2"/>
          </rPr>
          <t xml:space="preserve">Filter Inductance:
</t>
        </r>
        <r>
          <rPr>
            <sz val="9"/>
            <color indexed="81"/>
            <rFont val="Tahoma"/>
            <family val="2"/>
          </rPr>
          <t xml:space="preserve">Enter the filter inductance here.
</t>
        </r>
      </text>
    </comment>
    <comment ref="G23" authorId="0" shapeId="0" xr:uid="{00000000-0006-0000-0000-00000D000000}">
      <text>
        <r>
          <rPr>
            <b/>
            <sz val="9"/>
            <color indexed="81"/>
            <rFont val="Tahoma"/>
            <family val="2"/>
          </rPr>
          <t>Peak Inductor Current</t>
        </r>
        <r>
          <rPr>
            <sz val="9"/>
            <color indexed="81"/>
            <rFont val="Tahoma"/>
            <family val="2"/>
          </rPr>
          <t xml:space="preserve">
Maximum peak inductor current during normal operation.  The peak current limit calculations are based on this value</t>
        </r>
      </text>
    </comment>
    <comment ref="G26" authorId="0" shapeId="0" xr:uid="{00000000-0006-0000-0000-00000E000000}">
      <text>
        <r>
          <rPr>
            <b/>
            <sz val="9"/>
            <color indexed="81"/>
            <rFont val="Tahoma"/>
            <family val="2"/>
          </rPr>
          <t>Peak Current Limit Margin</t>
        </r>
        <r>
          <rPr>
            <sz val="9"/>
            <color indexed="81"/>
            <rFont val="Tahoma"/>
            <family val="2"/>
          </rPr>
          <t xml:space="preserve">
Minimum value is 15%
Margin above the calculated peak inductor current. Margin must be given to allow for load transients and component tolerances.</t>
        </r>
      </text>
    </comment>
    <comment ref="G27" authorId="0" shapeId="0" xr:uid="{00000000-0006-0000-0000-00000F000000}">
      <text>
        <r>
          <rPr>
            <b/>
            <sz val="9"/>
            <color indexed="81"/>
            <rFont val="Tahoma"/>
            <family val="2"/>
          </rPr>
          <t xml:space="preserve">Selected Peak Inductor Current Limt
</t>
        </r>
        <r>
          <rPr>
            <sz val="9"/>
            <color indexed="81"/>
            <rFont val="Tahoma"/>
            <family val="2"/>
          </rPr>
          <t xml:space="preserve">
Peak inductor current limit based on the margin and the steady state peak inductor current at V</t>
        </r>
        <r>
          <rPr>
            <vertAlign val="subscript"/>
            <sz val="9"/>
            <color indexed="81"/>
            <rFont val="Tahoma"/>
            <family val="2"/>
          </rPr>
          <t>IN_MIN</t>
        </r>
        <r>
          <rPr>
            <sz val="9"/>
            <color indexed="81"/>
            <rFont val="Tahoma"/>
            <family val="2"/>
          </rPr>
          <t xml:space="preserve"> and maximum output current</t>
        </r>
      </text>
    </comment>
    <comment ref="G28" authorId="0" shapeId="0" xr:uid="{00000000-0006-0000-0000-000010000000}">
      <text>
        <r>
          <rPr>
            <b/>
            <sz val="9"/>
            <color indexed="81"/>
            <rFont val="Tahoma"/>
            <family val="2"/>
          </rPr>
          <t>Current Sense Resistor Calculation</t>
        </r>
        <r>
          <rPr>
            <sz val="9"/>
            <color indexed="81"/>
            <rFont val="Tahoma"/>
            <family val="2"/>
          </rPr>
          <t xml:space="preserve">
Calculated current sense resistor based on the desired maximum peak current limit. 
</t>
        </r>
      </text>
    </comment>
    <comment ref="G29" authorId="0" shapeId="0" xr:uid="{00000000-0006-0000-0000-000011000000}">
      <text>
        <r>
          <rPr>
            <b/>
            <sz val="9"/>
            <color indexed="81"/>
            <rFont val="Tahoma"/>
            <family val="2"/>
          </rPr>
          <t>Calculated External Slope Compensation Resistor</t>
        </r>
        <r>
          <rPr>
            <sz val="9"/>
            <color indexed="81"/>
            <rFont val="Tahoma"/>
            <family val="2"/>
          </rPr>
          <t xml:space="preserve">
</t>
        </r>
      </text>
    </comment>
    <comment ref="G30" authorId="0" shapeId="0" xr:uid="{00000000-0006-0000-0000-000012000000}">
      <text>
        <r>
          <rPr>
            <sz val="9"/>
            <color indexed="81"/>
            <rFont val="Tahoma"/>
            <family val="2"/>
          </rPr>
          <t xml:space="preserve">
</t>
        </r>
      </text>
    </comment>
    <comment ref="G40" authorId="0" shapeId="0" xr:uid="{00000000-0006-0000-0000-000013000000}">
      <text>
        <r>
          <rPr>
            <b/>
            <sz val="11"/>
            <color indexed="81"/>
            <rFont val="Tahoma"/>
            <family val="2"/>
          </rPr>
          <t>This is the desired load transient output voltage dip for the a 50% to 100% load step on the output.</t>
        </r>
        <r>
          <rPr>
            <sz val="9"/>
            <color indexed="81"/>
            <rFont val="Tahoma"/>
            <family val="2"/>
          </rPr>
          <t xml:space="preserve">
</t>
        </r>
      </text>
    </comment>
    <comment ref="G59" authorId="0" shapeId="0" xr:uid="{00000000-0006-0000-0000-000014000000}">
      <text>
        <r>
          <rPr>
            <b/>
            <sz val="9"/>
            <color indexed="81"/>
            <rFont val="Tahoma"/>
            <family val="2"/>
          </rPr>
          <t xml:space="preserve">Changes the input voltage value. Allow for evaluation of the control loop ane efficiency at different input voltages.
</t>
        </r>
        <r>
          <rPr>
            <b/>
            <sz val="9"/>
            <color indexed="10"/>
            <rFont val="Tahoma"/>
            <family val="2"/>
          </rPr>
          <t>The text in the cell is flagged red if:
-The variable input voltage is less than the minimum input voltage
-The variable input voltage is greater than the maximum input voltage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B21" authorId="0" shapeId="0" xr:uid="{00000000-0006-0000-0100-000001000000}">
      <text>
        <r>
          <rPr>
            <b/>
            <sz val="9"/>
            <color indexed="81"/>
            <rFont val="Tahoma"/>
            <family val="2"/>
          </rPr>
          <t xml:space="preserve">Forced off time limit? 
[1 True, 0 False]
Just comparing the maximum duty cycle of the IC and the ideal duty cycle of the step up ratio
</t>
        </r>
        <r>
          <rPr>
            <sz val="9"/>
            <color indexed="81"/>
            <rFont val="Tahoma"/>
            <family val="2"/>
          </rPr>
          <t xml:space="preserve">
</t>
        </r>
      </text>
    </comment>
    <comment ref="K121" authorId="0" shapeId="0" xr:uid="{00000000-0006-0000-0100-000002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122" authorId="0" shapeId="0" xr:uid="{00000000-0006-0000-0100-000003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 ref="AG6" authorId="0" shapeId="0" xr:uid="{00000000-0006-0000-0200-000002000000}">
      <text>
        <r>
          <rPr>
            <b/>
            <sz val="9"/>
            <color indexed="81"/>
            <rFont val="Tahoma"/>
            <family val="2"/>
          </rPr>
          <t>BMC-BCS:</t>
        </r>
        <r>
          <rPr>
            <sz val="9"/>
            <color indexed="81"/>
            <rFont val="Tahoma"/>
            <family val="2"/>
          </rPr>
          <t xml:space="preserve">
Estimating uisng Average current. Needs to be updated for RMS current
</t>
        </r>
      </text>
    </comment>
    <comment ref="AK6" authorId="0" shapeId="0" xr:uid="{00000000-0006-0000-0200-000003000000}">
      <text>
        <r>
          <rPr>
            <b/>
            <sz val="9"/>
            <color indexed="81"/>
            <rFont val="Tahoma"/>
            <family val="2"/>
          </rPr>
          <t>BMC-BCS:</t>
        </r>
        <r>
          <rPr>
            <sz val="9"/>
            <color indexed="81"/>
            <rFont val="Tahoma"/>
            <family val="2"/>
          </rPr>
          <t xml:space="preserve">
Written for boost. Needs to be updated but no big rush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<sst xmlns="http://schemas.openxmlformats.org/spreadsheetml/2006/main" count="1018" uniqueCount="591">
  <si>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</si>
  <si>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</si>
  <si>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</si>
  <si>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</si>
  <si>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</si>
  <si>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</si>
  <si>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</si>
  <si>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Output Target Voltage, V</t>
    </r>
    <r>
      <rPr>
        <vertAlign val="subscript"/>
        <sz val="10"/>
        <color theme="1"/>
        <rFont val="Calibri"/>
        <family val="2"/>
        <scheme val="minor"/>
      </rPr>
      <t>LOAD</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</si>
  <si>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</si>
  <si>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</si>
  <si>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</si>
  <si>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</si>
  <si>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</si>
  <si>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</si>
  <si>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</si>
  <si>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</si>
  <si>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</si>
  <si>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</si>
  <si>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</si>
  <si>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</si>
  <si>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</si>
  <si>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</si>
  <si>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</si>
  <si>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</si>
  <si>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</si>
  <si>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</si>
  <si>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</si>
  <si>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</si>
  <si>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</si>
  <si>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</si>
  <si>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</si>
  <si>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</si>
  <si>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</si>
  <si>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</si>
  <si>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</si>
  <si>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</si>
  <si>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</si>
  <si>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</si>
  <si>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</si>
  <si>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</si>
  <si>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Total output power</t>
  </si>
  <si>
    <t>Minimum load resistance</t>
  </si>
  <si>
    <t>Dc_max_ideal</t>
  </si>
  <si>
    <t>Dc_max_IC</t>
  </si>
  <si>
    <t>Maximum IC duty cycle. Based on the forced off time. See Mathcad Calculations</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</si>
  <si>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</si>
  <si>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</si>
  <si>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</si>
  <si>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</si>
  <si>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</si>
  <si>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</si>
  <si>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</si>
  <si>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</si>
  <si>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</si>
  <si>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</si>
  <si>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</si>
  <si>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</si>
  <si>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</si>
  <si>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</si>
  <si>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</si>
  <si>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</si>
  <si>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</si>
  <si>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</si>
  <si>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</si>
  <si>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</si>
  <si>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Nominal right now</t>
  </si>
  <si>
    <t>Fsw</t>
  </si>
  <si>
    <t>Hz</t>
  </si>
  <si>
    <t xml:space="preserve">Switching frequnecy </t>
  </si>
  <si>
    <t>Flag</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</si>
  <si>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</si>
  <si>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</si>
  <si>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</si>
  <si>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</si>
  <si>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</si>
  <si>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</si>
  <si>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</si>
  <si>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</si>
  <si>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t>Dc_VIN_min</t>
  </si>
  <si>
    <t>Dc_VIN_nom</t>
  </si>
  <si>
    <t>Dc_VIN_max</t>
  </si>
  <si>
    <t>ton_min</t>
  </si>
  <si>
    <t>Typical Ton minimum value</t>
  </si>
  <si>
    <t>Average input current at minimum input voltage. 100% Eff assumed</t>
  </si>
  <si>
    <t>Average input current at nominal input voltage. 100% Eff assumed</t>
  </si>
  <si>
    <t>Average input current at maximum input voltage. 100% Eff assumed</t>
  </si>
  <si>
    <t>H</t>
  </si>
  <si>
    <t>ILrip</t>
  </si>
  <si>
    <t>Lm</t>
  </si>
  <si>
    <t>Selected filter inductor</t>
  </si>
  <si>
    <t>uH</t>
  </si>
  <si>
    <t>Rdcr</t>
  </si>
  <si>
    <r>
      <t>m</t>
    </r>
    <r>
      <rPr>
        <sz val="11"/>
        <color theme="1"/>
        <rFont val="Calibri"/>
        <family val="2"/>
      </rPr>
      <t>Ω</t>
    </r>
  </si>
  <si>
    <r>
      <t>Peak inductor current, IL</t>
    </r>
    <r>
      <rPr>
        <vertAlign val="subscript"/>
        <sz val="10"/>
        <color theme="1"/>
        <rFont val="Calibri"/>
        <family val="2"/>
        <scheme val="minor"/>
      </rPr>
      <t>PK</t>
    </r>
  </si>
  <si>
    <t>Lopt_2</t>
  </si>
  <si>
    <t>.</t>
  </si>
  <si>
    <t>Peak inductor current at VIN min. Including estimated efficiency</t>
  </si>
  <si>
    <t xml:space="preserve">Inductor ripple current at VIN min. </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</si>
  <si>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</si>
  <si>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</si>
  <si>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</si>
  <si>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</si>
  <si>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</si>
  <si>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</si>
  <si>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</si>
  <si>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</si>
  <si>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</si>
  <si>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</si>
  <si>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</si>
  <si>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Filter inductor DCR</t>
  </si>
  <si>
    <t>Ltol</t>
  </si>
  <si>
    <t>Assumed inductor tolerance. Constant to help simplify the user experience</t>
  </si>
  <si>
    <t>Rcs_max</t>
  </si>
  <si>
    <t>Maximum Rcs based on internal slope compensation. Assuming slope ratio of 1/2</t>
  </si>
  <si>
    <t>Rcs_sl_ratio</t>
  </si>
  <si>
    <t>ratio of down slope to slope compensation. This can be updated to give more margin</t>
  </si>
  <si>
    <t>Isl</t>
  </si>
  <si>
    <t>Internal slope compensation ramp</t>
  </si>
  <si>
    <t>Rsl_int</t>
  </si>
  <si>
    <t>Internal Slope compensation resistor</t>
  </si>
  <si>
    <t>Rcs_wo_sl</t>
  </si>
  <si>
    <t>Current sense resistor without slope compensation</t>
  </si>
  <si>
    <t>Vcl</t>
  </si>
  <si>
    <t>Current Limit Value. See datsheet for Parameters</t>
  </si>
  <si>
    <t>Flag_ext_sl</t>
  </si>
  <si>
    <t>Rcs_w_sl</t>
  </si>
  <si>
    <t>Rcs_ext_sl_ratio</t>
  </si>
  <si>
    <t>R_sl_ext</t>
  </si>
  <si>
    <t>R_cs_calc</t>
  </si>
  <si>
    <t>R_sl_calc</t>
  </si>
  <si>
    <t>R_cs</t>
  </si>
  <si>
    <t>R_sl</t>
  </si>
  <si>
    <t>Calculated external slope compensation resistor</t>
  </si>
  <si>
    <t>Calculated current sense resistor with slope compensation included</t>
  </si>
  <si>
    <r>
      <t>Recommended external slope compensation Resistor (R</t>
    </r>
    <r>
      <rPr>
        <vertAlign val="subscript"/>
        <sz val="11"/>
        <color theme="1"/>
        <rFont val="Calibri"/>
        <family val="2"/>
        <scheme val="minor"/>
      </rPr>
      <t>SL</t>
    </r>
    <r>
      <rPr>
        <sz val="11"/>
        <color theme="1"/>
        <rFont val="Calibri"/>
        <family val="2"/>
        <scheme val="minor"/>
      </rPr>
      <t>)</t>
    </r>
  </si>
  <si>
    <t>Selected current sense Resistor</t>
  </si>
  <si>
    <t>Selected external slope compensation</t>
  </si>
  <si>
    <r>
      <t>Selected external slope compensation Resistor (R</t>
    </r>
    <r>
      <rPr>
        <vertAlign val="subscript"/>
        <sz val="11"/>
        <color theme="1"/>
        <rFont val="Calibri"/>
        <family val="2"/>
        <scheme val="minor"/>
      </rPr>
      <t>SL</t>
    </r>
    <r>
      <rPr>
        <sz val="11"/>
        <color theme="1"/>
        <rFont val="Calibri"/>
        <family val="2"/>
        <scheme val="minor"/>
      </rPr>
      <t>)</t>
    </r>
  </si>
  <si>
    <t>Check to make sure that slope compensation is high enough at the minimum input voltage</t>
  </si>
  <si>
    <t>Slope Compensation</t>
  </si>
  <si>
    <t>sl_vin_min</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</si>
  <si>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</si>
  <si>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</si>
  <si>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</si>
  <si>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</si>
  <si>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</si>
  <si>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</si>
  <si>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</si>
  <si>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</si>
  <si>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</si>
  <si>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</si>
  <si>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mV</t>
  </si>
  <si>
    <t xml:space="preserve">Minimum output capacitance </t>
  </si>
  <si>
    <t>uF</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</si>
  <si>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</si>
  <si>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</si>
  <si>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</si>
  <si>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Cout_min</t>
  </si>
  <si>
    <t>F</t>
  </si>
  <si>
    <t>Calculate minimum capacitance based simply on the capacitive ripple</t>
  </si>
  <si>
    <r>
      <t>Capacitor RMS current (I</t>
    </r>
    <r>
      <rPr>
        <vertAlign val="subscript"/>
        <sz val="11"/>
        <color theme="1"/>
        <rFont val="Calibri"/>
        <family val="2"/>
        <scheme val="minor"/>
      </rPr>
      <t>RMS_COUT</t>
    </r>
    <r>
      <rPr>
        <sz val="11"/>
        <color theme="1"/>
        <rFont val="Calibri"/>
        <family val="2"/>
        <scheme val="minor"/>
      </rPr>
      <t>)</t>
    </r>
  </si>
  <si>
    <t>IRMS_COUT</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</si>
  <si>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</si>
  <si>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</si>
  <si>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</si>
  <si>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Cout</t>
  </si>
  <si>
    <t>Input Parameters</t>
  </si>
  <si>
    <t>Output Voltage</t>
  </si>
  <si>
    <t>Component Selection</t>
  </si>
  <si>
    <t>LM</t>
  </si>
  <si>
    <t>filter Inductor</t>
  </si>
  <si>
    <t>Current sense resi</t>
  </si>
  <si>
    <t>External Slope Compensation Resistor</t>
  </si>
  <si>
    <t>Interanl Slope Compesnation Resistor</t>
  </si>
  <si>
    <t>Interanl Slope Compesnation current</t>
  </si>
  <si>
    <t>Suggested bandwidth</t>
  </si>
  <si>
    <t>RCOMP</t>
  </si>
  <si>
    <t>kΩ</t>
  </si>
  <si>
    <t>Feedback Resistor Selection</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</si>
  <si>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</si>
  <si>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</si>
  <si>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</si>
  <si>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</si>
  <si>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</si>
  <si>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</si>
  <si>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</si>
  <si>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</si>
  <si>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</si>
  <si>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</si>
  <si>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</si>
  <si>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</si>
  <si>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</si>
  <si>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</si>
  <si>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</si>
  <si>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</si>
  <si>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</si>
  <si>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</si>
  <si>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</si>
  <si>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</si>
  <si>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</si>
  <si>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</si>
  <si>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</si>
  <si>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</si>
  <si>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</si>
  <si>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</si>
  <si>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</si>
  <si>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</si>
  <si>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</si>
  <si>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</si>
  <si>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</si>
  <si>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</si>
  <si>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</si>
  <si>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</si>
  <si>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</si>
  <si>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</si>
  <si>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</si>
  <si>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</si>
  <si>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</si>
  <si>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</si>
  <si>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</si>
  <si>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</si>
  <si>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</si>
  <si>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Plant Transfer Function</t>
  </si>
  <si>
    <t>Error Amplifier</t>
  </si>
  <si>
    <t>wz_ea</t>
  </si>
  <si>
    <t>Adc_ea</t>
  </si>
  <si>
    <t>gm_ea</t>
  </si>
  <si>
    <t>Error Amplifier Gain</t>
  </si>
  <si>
    <t>A/V</t>
  </si>
  <si>
    <t>wp0_ea</t>
  </si>
  <si>
    <t>wp1_ea</t>
  </si>
  <si>
    <t>ADC_ea</t>
  </si>
  <si>
    <t xml:space="preserve">Gain </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</si>
  <si>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</si>
  <si>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</si>
  <si>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</si>
  <si>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</si>
  <si>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</si>
  <si>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</si>
  <si>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</si>
  <si>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</si>
  <si>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</si>
  <si>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</si>
  <si>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</si>
  <si>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</si>
  <si>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</si>
  <si>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</si>
  <si>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t>Current Drawn from the feedback resistors (Typically higher than 100uA to help w/ noise)</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</si>
  <si>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</si>
  <si>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</si>
  <si>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</si>
  <si>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</si>
  <si>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</si>
  <si>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r>
      <t>Calculated bottom feedback resistor (R</t>
    </r>
    <r>
      <rPr>
        <vertAlign val="subscript"/>
        <sz val="11"/>
        <color theme="1"/>
        <rFont val="Calibri"/>
        <family val="2"/>
        <scheme val="minor"/>
      </rPr>
      <t>FBB_cala</t>
    </r>
    <r>
      <rPr>
        <sz val="11"/>
        <color theme="1"/>
        <rFont val="Calibri"/>
        <family val="2"/>
        <scheme val="minor"/>
      </rPr>
      <t>)</t>
    </r>
  </si>
  <si>
    <t>fcross</t>
  </si>
  <si>
    <t>Desired Crossover frequency</t>
  </si>
  <si>
    <t>1/10 the swictching frequency</t>
  </si>
  <si>
    <t>Fcross</t>
  </si>
  <si>
    <t>wz_RHP</t>
  </si>
  <si>
    <t>Rcomp_Calc</t>
  </si>
  <si>
    <t>Calculate on based on the desired Mid-band gain needed to set the crossover frequency</t>
  </si>
  <si>
    <t>fz_ea_est</t>
  </si>
  <si>
    <t>CCOMP_calc</t>
  </si>
  <si>
    <t>fp_ea_est</t>
  </si>
  <si>
    <r>
      <t>Select a top feedback resistor(R</t>
    </r>
    <r>
      <rPr>
        <vertAlign val="subscript"/>
        <sz val="11"/>
        <color theme="1"/>
        <rFont val="Calibri"/>
        <family val="2"/>
        <scheme val="minor"/>
      </rPr>
      <t>FBT</t>
    </r>
    <r>
      <rPr>
        <sz val="11"/>
        <color theme="1"/>
        <rFont val="Calibri"/>
        <family val="2"/>
        <scheme val="minor"/>
      </rPr>
      <t>)</t>
    </r>
  </si>
  <si>
    <r>
      <t>Select a bottomresistor based on calculated balue(R</t>
    </r>
    <r>
      <rPr>
        <vertAlign val="subscript"/>
        <sz val="11"/>
        <color theme="1"/>
        <rFont val="Calibri"/>
        <family val="2"/>
        <scheme val="minor"/>
      </rPr>
      <t>FBB</t>
    </r>
    <r>
      <rPr>
        <sz val="11"/>
        <color theme="1"/>
        <rFont val="Calibri"/>
        <family val="2"/>
        <scheme val="minor"/>
      </rPr>
      <t>)</t>
    </r>
  </si>
  <si>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</si>
  <si>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</si>
  <si>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</si>
  <si>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</si>
  <si>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</si>
  <si>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</si>
  <si>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</si>
  <si>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</si>
  <si>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</si>
  <si>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</si>
  <si>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</si>
  <si>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</si>
  <si>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</si>
  <si>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</si>
  <si>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</si>
  <si>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</si>
  <si>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</si>
  <si>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</si>
  <si>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</si>
  <si>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</si>
  <si>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</si>
  <si>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</si>
  <si>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</si>
  <si>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</si>
  <si>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Desied soft-start time at minimum input voltage (T</t>
    </r>
    <r>
      <rPr>
        <vertAlign val="subscript"/>
        <sz val="11"/>
        <color theme="1"/>
        <rFont val="Calibri"/>
        <family val="2"/>
        <scheme val="minor"/>
      </rPr>
      <t>SS</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</si>
  <si>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</si>
  <si>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Desired voltage On (V</t>
    </r>
    <r>
      <rPr>
        <vertAlign val="subscript"/>
        <sz val="11"/>
        <color theme="1"/>
        <rFont val="Calibri"/>
        <family val="2"/>
        <scheme val="minor"/>
      </rPr>
      <t>UVLO_ON</t>
    </r>
    <r>
      <rPr>
        <sz val="11"/>
        <color theme="1"/>
        <rFont val="Calibri"/>
        <family val="2"/>
        <scheme val="minor"/>
      </rPr>
      <t>)</t>
    </r>
  </si>
  <si>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</si>
  <si>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</si>
  <si>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</si>
  <si>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</si>
  <si>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</si>
  <si>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</si>
  <si>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</si>
  <si>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</si>
  <si>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</si>
  <si>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</si>
  <si>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</si>
  <si>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</si>
  <si>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</si>
  <si>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</si>
  <si>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</si>
  <si>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</si>
  <si>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</si>
  <si>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</si>
  <si>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</si>
  <si>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</si>
  <si>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</si>
  <si>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</si>
  <si>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</si>
  <si>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</si>
  <si>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</si>
  <si>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</si>
  <si>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r>
      <t>ID</t>
    </r>
    <r>
      <rPr>
        <vertAlign val="subscript"/>
        <sz val="11"/>
        <color theme="1"/>
        <rFont val="Calibri"/>
        <family val="2"/>
        <scheme val="minor"/>
      </rPr>
      <t>RMS</t>
    </r>
  </si>
  <si>
    <t>Step 7: Component Selection</t>
  </si>
  <si>
    <t>Vd_rect</t>
  </si>
  <si>
    <t>Rect Diode forward voltage drop</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</si>
  <si>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</si>
  <si>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</si>
  <si>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</si>
  <si>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</si>
  <si>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</si>
  <si>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</si>
  <si>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</si>
  <si>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</si>
  <si>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</si>
  <si>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</si>
  <si>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</si>
  <si>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</si>
  <si>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</si>
  <si>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</si>
  <si>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</si>
  <si>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</si>
  <si>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</si>
  <si>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MOSFET parameters</t>
  </si>
  <si>
    <r>
      <t>Forward Voltage Drop (V</t>
    </r>
    <r>
      <rPr>
        <vertAlign val="subscript"/>
        <sz val="11"/>
        <color theme="1"/>
        <rFont val="Calibri"/>
        <family val="2"/>
        <scheme val="minor"/>
      </rPr>
      <t>D</t>
    </r>
    <r>
      <rPr>
        <sz val="11"/>
        <color theme="1"/>
        <rFont val="Calibri"/>
        <family val="2"/>
        <scheme val="minor"/>
      </rPr>
      <t>)</t>
    </r>
  </si>
  <si>
    <t>MOSFET Parameters</t>
  </si>
  <si>
    <t>Qg_tot</t>
  </si>
  <si>
    <t>Qgs</t>
  </si>
  <si>
    <t>Qgd</t>
  </si>
  <si>
    <t>Rgate</t>
  </si>
  <si>
    <t>gfs</t>
  </si>
  <si>
    <t>Vth</t>
  </si>
  <si>
    <t>Reverse recovery charge of Schottky  Diode (QRR)</t>
  </si>
  <si>
    <t>C</t>
  </si>
  <si>
    <t>Shottky Reverse recovery charge</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</si>
  <si>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</si>
  <si>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</si>
  <si>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</si>
  <si>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</si>
  <si>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</si>
  <si>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</si>
  <si>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</si>
  <si>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</si>
  <si>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</si>
  <si>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</si>
  <si>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</si>
  <si>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</si>
  <si>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</si>
  <si>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</si>
  <si>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</si>
  <si>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</si>
  <si>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</si>
  <si>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</si>
  <si>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</si>
  <si>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</si>
  <si>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 xml:space="preserve">D_tot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</si>
  <si>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</si>
  <si>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</si>
  <si>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</si>
  <si>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</si>
  <si>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</si>
  <si>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</si>
  <si>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</si>
  <si>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</si>
  <si>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</si>
  <si>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</si>
  <si>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</si>
  <si>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</si>
  <si>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MOSFET</t>
  </si>
  <si>
    <t>Diode</t>
  </si>
  <si>
    <r>
      <t>C</t>
    </r>
    <r>
      <rPr>
        <vertAlign val="subscript"/>
        <sz val="11"/>
        <color theme="1"/>
        <rFont val="Calibri"/>
        <family val="2"/>
        <scheme val="minor"/>
      </rPr>
      <t>COMP</t>
    </r>
  </si>
  <si>
    <r>
      <t>C</t>
    </r>
    <r>
      <rPr>
        <vertAlign val="subscript"/>
        <sz val="11"/>
        <color theme="1"/>
        <rFont val="Calibri"/>
        <family val="2"/>
        <scheme val="minor"/>
      </rPr>
      <t>HF</t>
    </r>
  </si>
  <si>
    <t>IOUT_VAR</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</si>
  <si>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</si>
  <si>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</si>
  <si>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</si>
  <si>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</si>
  <si>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</si>
  <si>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</si>
  <si>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</si>
  <si>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</si>
  <si>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</si>
  <si>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</si>
  <si>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</si>
  <si>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r>
      <t>Selected band width (F</t>
    </r>
    <r>
      <rPr>
        <vertAlign val="subscript"/>
        <sz val="11"/>
        <color theme="1"/>
        <rFont val="Calibri"/>
        <family val="2"/>
        <scheme val="minor"/>
      </rPr>
      <t>CO</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</si>
  <si>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</si>
  <si>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</si>
  <si>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</si>
  <si>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</si>
  <si>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</si>
  <si>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</si>
  <si>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</si>
  <si>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</si>
  <si>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</si>
  <si>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</si>
  <si>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</si>
  <si>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</si>
  <si>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</si>
  <si>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</si>
  <si>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</si>
  <si>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</si>
  <si>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</si>
  <si>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</si>
  <si>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</si>
  <si>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</si>
  <si>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</si>
  <si>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</si>
  <si>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</si>
  <si>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Ideal Duty Cycle at V</t>
    </r>
    <r>
      <rPr>
        <vertAlign val="subscript"/>
        <sz val="10"/>
        <color theme="1"/>
        <rFont val="Calibri"/>
        <family val="2"/>
        <scheme val="minor"/>
      </rPr>
      <t xml:space="preserve">SUPPLY(MIN) </t>
    </r>
  </si>
  <si>
    <r>
      <t>Desired Maximum Inductor Current Ripple Ratio (I</t>
    </r>
    <r>
      <rPr>
        <vertAlign val="subscript"/>
        <sz val="10"/>
        <color theme="1"/>
        <rFont val="Calibri"/>
        <family val="2"/>
        <scheme val="minor"/>
      </rPr>
      <t>RR_MAX</t>
    </r>
    <r>
      <rPr>
        <sz val="10"/>
        <color theme="1"/>
        <rFont val="Calibri"/>
        <family val="2"/>
        <scheme val="minor"/>
      </rPr>
      <t>)</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</si>
  <si>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</si>
  <si>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</si>
  <si>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</si>
  <si>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t>Set between 1/2 fsw and the RHPz in the application note. This is aggressive</t>
  </si>
  <si>
    <r>
      <t>Recommended minimum average current rating (I</t>
    </r>
    <r>
      <rPr>
        <vertAlign val="subscript"/>
        <sz val="11"/>
        <color theme="1"/>
        <rFont val="Calibri"/>
        <family val="2"/>
        <scheme val="minor"/>
      </rPr>
      <t>D_AVG</t>
    </r>
    <r>
      <rPr>
        <sz val="11"/>
        <color theme="1"/>
        <rFont val="Calibri"/>
        <family val="2"/>
        <scheme val="minor"/>
      </rPr>
      <t>)</t>
    </r>
  </si>
  <si>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</si>
  <si>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</si>
  <si>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 xml:space="preserve">Estimated efficiency. Assuming 95% to give some margin </t>
  </si>
  <si>
    <t>Maximum duty cycle at the minimum input voltage. Includes estimated efficiency for margin</t>
  </si>
  <si>
    <t>Duty cycle at the nominal input voltage (CCM) (First order/ ideal equation)</t>
  </si>
  <si>
    <t>Duty cycle at the maximum input voltage (CCM) (First order/ ideal equation)</t>
  </si>
  <si>
    <t>Is discontinuous conduction mode required to achieve step up ratio?</t>
  </si>
  <si>
    <t>DCM_Flag</t>
  </si>
  <si>
    <t>CCM Operation calculations</t>
  </si>
  <si>
    <t>DCM Strategy</t>
  </si>
  <si>
    <t>Select DCM duty cycle to be 70%. This will keep the ripple current fairly low and allow for efficiency drops.</t>
  </si>
  <si>
    <t>L_DCM_DC</t>
  </si>
  <si>
    <t>DC_DCM_max</t>
  </si>
  <si>
    <t>Maximum duty cycle for DCM operation. 70% is a good starting point. Could be related to the switching frequency</t>
  </si>
  <si>
    <t>M_L_DCM</t>
  </si>
  <si>
    <t>Margin to allow for inductor ripple current to be greater than the average input current</t>
  </si>
  <si>
    <t>L_DCM_M</t>
  </si>
  <si>
    <t xml:space="preserve">Inductor value that ensures the ripple current is larger than the average input current </t>
  </si>
  <si>
    <t>L_DCM</t>
  </si>
  <si>
    <t>Select the lowest of the two inductor value calculations</t>
  </si>
  <si>
    <t>If DCM is required (high step-up ratio) output L_DCM. Otherwise output the CCM inductor value</t>
  </si>
  <si>
    <r>
      <t xml:space="preserve">Forced off time limit? [2 True, 1 False]. </t>
    </r>
    <r>
      <rPr>
        <b/>
        <sz val="11"/>
        <color theme="1"/>
        <rFont val="Calibri"/>
        <family val="2"/>
        <scheme val="minor"/>
      </rPr>
      <t>Note this is calcualting for the minimum duty cycle limit of the datasheet.</t>
    </r>
  </si>
  <si>
    <t>Lm_calc</t>
  </si>
  <si>
    <t>Duty Cycle Calculations</t>
  </si>
  <si>
    <t>Minium input voltage</t>
  </si>
  <si>
    <t>DCc_mode_VIN_min</t>
  </si>
  <si>
    <t>Flags if the regulator is operating in CCM or DCM (1 = CCM, 0 = DCM)</t>
  </si>
  <si>
    <t>DCc_mode_VIN_nom</t>
  </si>
  <si>
    <t>DCc_mode_VIN_max</t>
  </si>
  <si>
    <t>Current Sense Resistor calculated, id DCM this is going to be the value calculated without slope compensation</t>
  </si>
  <si>
    <t>External slope compensation resistor, if DCM operation the external slope compensation is not needed. Should b 0 Ohm</t>
  </si>
  <si>
    <t>External Compensation? (0-no, 1-yes), Only accurate for CCM as DCM doesn't need slope compensation</t>
  </si>
  <si>
    <t>External Slope compensation ratio. Constant to provide a dead beat response</t>
  </si>
  <si>
    <t>*Note this changed for the Version 1 forward. The output capcitance is based on the load transient specification. Similar to the fylback converter</t>
  </si>
  <si>
    <t>fcross_estimate</t>
  </si>
  <si>
    <t>Itrans</t>
  </si>
  <si>
    <r>
      <t>Desired load step ripple voltage (</t>
    </r>
    <r>
      <rPr>
        <sz val="11"/>
        <color theme="1"/>
        <rFont val="Calibri"/>
        <family val="2"/>
      </rPr>
      <t>Δv</t>
    </r>
    <r>
      <rPr>
        <vertAlign val="subscript"/>
        <sz val="11"/>
        <color theme="1"/>
        <rFont val="Calibri"/>
        <family val="2"/>
      </rPr>
      <t>OUT</t>
    </r>
    <r>
      <rPr>
        <sz val="11"/>
        <color theme="1"/>
        <rFont val="Calibri"/>
        <family val="2"/>
      </rPr>
      <t>)</t>
    </r>
  </si>
  <si>
    <t>CCM Calculations</t>
  </si>
  <si>
    <t>DCM Selections</t>
  </si>
  <si>
    <t>CCM Plant Transfer Function</t>
  </si>
  <si>
    <t>DCM Plant Transfer Function</t>
  </si>
  <si>
    <t xml:space="preserve"> CCMPlant Parameters</t>
  </si>
  <si>
    <t xml:space="preserve"> DCMPlant Parameters</t>
  </si>
  <si>
    <t>ADC_VIN_min_DCM</t>
  </si>
  <si>
    <t>Fm_DCM</t>
  </si>
  <si>
    <t>wp_dcm</t>
  </si>
  <si>
    <t>wz1_dcm</t>
  </si>
  <si>
    <t>wz2_dcm</t>
  </si>
  <si>
    <t>fcross_DCM</t>
  </si>
  <si>
    <t>Gain of the plant at the crossover frequency</t>
  </si>
  <si>
    <r>
      <t>Crossover frequnecy of the</t>
    </r>
    <r>
      <rPr>
        <b/>
        <sz val="11"/>
        <color theme="1"/>
        <rFont val="Calibri"/>
        <family val="2"/>
        <scheme val="minor"/>
      </rPr>
      <t xml:space="preserve"> DCM control loop</t>
    </r>
    <r>
      <rPr>
        <sz val="11"/>
        <color theme="1"/>
        <rFont val="Calibri"/>
        <family val="2"/>
        <scheme val="minor"/>
      </rPr>
      <t>. (1/5th the RHPzero frequency), suggested</t>
    </r>
  </si>
  <si>
    <t>General Loop Selections</t>
  </si>
  <si>
    <t>This is the output to the user based on the mode of operation when VIN is the minimum</t>
  </si>
  <si>
    <t>Rcomp_Calc_DCM</t>
  </si>
  <si>
    <t>Selected cross over frequency by the user.</t>
  </si>
  <si>
    <t>Calcualted based on the desired Zero frequency. Set at the geometric mean between the crossover frequency and the load pole</t>
  </si>
  <si>
    <t>Calcualted based on the RHP zero frequency</t>
  </si>
  <si>
    <t>fcross_CCM</t>
  </si>
  <si>
    <t>Ohm</t>
  </si>
  <si>
    <t>CCOMP_Calc_DCM</t>
  </si>
  <si>
    <t>CHF_Calc_DCM</t>
  </si>
  <si>
    <t>Rcomp_Calc_CCM</t>
  </si>
  <si>
    <t>CCOMP_calc_CCM</t>
  </si>
  <si>
    <t>CHF_Calc_CCM</t>
  </si>
  <si>
    <t>CHF_calc</t>
  </si>
  <si>
    <t>CCM Plan Parameters</t>
  </si>
  <si>
    <t>Variable output current (Can add this a different revision, not needed right now)</t>
  </si>
  <si>
    <t>RHP zero location</t>
  </si>
  <si>
    <t>Modulator gain of the PWM comparator</t>
  </si>
  <si>
    <t>"Note this include the COMP to PWM gain term (.145V/V)</t>
  </si>
  <si>
    <t>DC_VIN_var_DCM</t>
  </si>
  <si>
    <t>Duty cycle of the converter in DCM</t>
  </si>
  <si>
    <t>Operating mode</t>
  </si>
  <si>
    <t>wp_lf_DCM</t>
  </si>
  <si>
    <t>CCM Open Loop Response</t>
  </si>
  <si>
    <t>DCM Open Loop Response</t>
  </si>
  <si>
    <t>Displayed Loop Calclation</t>
  </si>
  <si>
    <t>Gain(dB)</t>
  </si>
  <si>
    <t>Phase (deg)</t>
  </si>
  <si>
    <t>RAD</t>
  </si>
  <si>
    <t>June-2020</t>
  </si>
  <si>
    <t>This sets the error amp zero at the geometric mean between the load pole and the crossover frequency</t>
  </si>
  <si>
    <t>LM5155/56 DC/DC Coupled Inductor SEPIC Controller Design Tool</t>
  </si>
  <si>
    <t>"Currently this is set of a boost Converter. Will need to change when Supporting DCM Calculation</t>
  </si>
  <si>
    <t>Calculate the inductor at nominal voltage. This should allow for the best efficiency</t>
  </si>
  <si>
    <t>This value used to make the selection for CCM calculations. This is done at the Nominal input voltage</t>
  </si>
  <si>
    <t>*Note right now DCM is not active for SEPIC calculations</t>
  </si>
  <si>
    <t>Required Mode of Operation:</t>
  </si>
  <si>
    <t>Input coil currents</t>
  </si>
  <si>
    <t>Lm_A</t>
  </si>
  <si>
    <t>Input coil inductance</t>
  </si>
  <si>
    <t>Output coil inductance</t>
  </si>
  <si>
    <t>IL_coupled</t>
  </si>
  <si>
    <r>
      <t xml:space="preserve">are the inductors coupled? (1 = Yes, 0 = No). </t>
    </r>
    <r>
      <rPr>
        <b/>
        <sz val="11"/>
        <color theme="1"/>
        <rFont val="Calibri"/>
        <family val="2"/>
        <scheme val="minor"/>
      </rPr>
      <t>This will be an option in future revisions</t>
    </r>
  </si>
  <si>
    <t>Lm_B</t>
  </si>
  <si>
    <t>Input from user for uncoupled design</t>
  </si>
  <si>
    <t>ILA_avg_VIN_min</t>
  </si>
  <si>
    <t>ILArip_VINmin</t>
  </si>
  <si>
    <t>ILAp_VINmin</t>
  </si>
  <si>
    <t>ILA_avg_VIN_nom</t>
  </si>
  <si>
    <t>ILArip_VINnom</t>
  </si>
  <si>
    <t>ILAp_VINnom</t>
  </si>
  <si>
    <t>ILA_avg_VIN_max</t>
  </si>
  <si>
    <t>ILArip_VINmax</t>
  </si>
  <si>
    <t>ILAp_VINmax</t>
  </si>
  <si>
    <t>Output coil currents</t>
  </si>
  <si>
    <t>ILB_avg_VIN_min</t>
  </si>
  <si>
    <t>ILBrip_VINmin</t>
  </si>
  <si>
    <t>ILBp_VINmin</t>
  </si>
  <si>
    <t>Duty cycle at the mimum input voltage (CCM). DCM is modeled for coupled inductor equations. Needs to me modeld of uncoupled inductors</t>
  </si>
  <si>
    <t>Switch currents</t>
  </si>
  <si>
    <t>ISW_peak_VIN_min</t>
  </si>
  <si>
    <t>ILB_avg_VIN_nom</t>
  </si>
  <si>
    <t>ILBrip_VIN_nom</t>
  </si>
  <si>
    <t>ILBp_VIN_nom</t>
  </si>
  <si>
    <t>ISW_peak_VIN_nom</t>
  </si>
  <si>
    <t>ILB_avg_VIN_max</t>
  </si>
  <si>
    <t>ILBrip_VIN_max</t>
  </si>
  <si>
    <t>ILBp_VIN_max</t>
  </si>
  <si>
    <t>ISW_peak_VIN_max</t>
  </si>
  <si>
    <t>Outout coil inductor calculations</t>
  </si>
  <si>
    <t>Actual switch peak current limit</t>
  </si>
  <si>
    <r>
      <t>Step 4: C</t>
    </r>
    <r>
      <rPr>
        <b/>
        <vertAlign val="subscript"/>
        <sz val="11"/>
        <color rgb="FF0070C0"/>
        <rFont val="Calibri"/>
        <family val="2"/>
        <scheme val="minor"/>
      </rPr>
      <t>AC</t>
    </r>
    <r>
      <rPr>
        <b/>
        <sz val="11"/>
        <color rgb="FF0070C0"/>
        <rFont val="Calibri"/>
        <family val="2"/>
        <scheme val="minor"/>
      </rPr>
      <t xml:space="preserve"> Capacitor Selection</t>
    </r>
  </si>
  <si>
    <r>
      <t>Minimum couplpling capacitor value (C</t>
    </r>
    <r>
      <rPr>
        <vertAlign val="subscript"/>
        <sz val="11"/>
        <color theme="1"/>
        <rFont val="Calibri"/>
        <family val="2"/>
        <scheme val="minor"/>
      </rPr>
      <t>AC_min</t>
    </r>
    <r>
      <rPr>
        <sz val="11"/>
        <color theme="1"/>
        <rFont val="Calibri"/>
        <family val="2"/>
        <scheme val="minor"/>
      </rPr>
      <t>)</t>
    </r>
  </si>
  <si>
    <r>
      <t>Selected Coupling Capacitor (C</t>
    </r>
    <r>
      <rPr>
        <vertAlign val="subscript"/>
        <sz val="11"/>
        <color theme="1"/>
        <rFont val="Calibri"/>
        <family val="2"/>
        <scheme val="minor"/>
      </rPr>
      <t>AC</t>
    </r>
    <r>
      <rPr>
        <sz val="11"/>
        <color theme="1"/>
        <rFont val="Calibri"/>
        <family val="2"/>
        <scheme val="minor"/>
      </rPr>
      <t>)</t>
    </r>
  </si>
  <si>
    <r>
      <t>Minimuum require C</t>
    </r>
    <r>
      <rPr>
        <vertAlign val="subscript"/>
        <sz val="11"/>
        <color theme="1"/>
        <rFont val="Calibri"/>
        <family val="2"/>
        <scheme val="minor"/>
      </rPr>
      <t>AC</t>
    </r>
    <r>
      <rPr>
        <sz val="11"/>
        <color theme="1"/>
        <rFont val="Calibri"/>
        <family val="2"/>
        <scheme val="minor"/>
      </rPr>
      <t xml:space="preserve"> RMS current Rating</t>
    </r>
  </si>
  <si>
    <t>Step 5: Output Capacitor Selection</t>
  </si>
  <si>
    <t>Step 6: Soft-Start Capacitor Selection</t>
  </si>
  <si>
    <t>Step 7: UVLO Resistor Divider Selection</t>
  </si>
  <si>
    <t>Step  8: Loop Compensation</t>
  </si>
  <si>
    <t>Step 4: AC capacitor selection</t>
  </si>
  <si>
    <t>Cac_min</t>
  </si>
  <si>
    <t>Cac</t>
  </si>
  <si>
    <t>Calculated for CCM operation assuming coupled inductors</t>
  </si>
  <si>
    <t>VCrr</t>
  </si>
  <si>
    <t>Selected  AC capacitor value for the user</t>
  </si>
  <si>
    <t>IRMS_Cac</t>
  </si>
  <si>
    <t>V_Cac</t>
  </si>
  <si>
    <t>Max ripple voltage of the capacitor (at VIN min)</t>
  </si>
  <si>
    <t>RMS ripple current of the AC capacitor. Calculated at the minimum input votlage</t>
  </si>
  <si>
    <r>
      <t>Estimate to be 1.5 the RHP zero frequency *</t>
    </r>
    <r>
      <rPr>
        <b/>
        <sz val="11"/>
        <color theme="1"/>
        <rFont val="Calibri"/>
        <family val="2"/>
        <scheme val="minor"/>
      </rPr>
      <t>Will need to updated for DCM operation</t>
    </r>
  </si>
  <si>
    <r>
      <t xml:space="preserve">RMS current of the output capacitor at VIN min IOUT max. RMS current rating should be larger than this. </t>
    </r>
    <r>
      <rPr>
        <b/>
        <sz val="11"/>
        <color theme="1"/>
        <rFont val="Calibri"/>
        <family val="2"/>
        <scheme val="minor"/>
      </rPr>
      <t>Need to update for DCM and uncoupled inductors</t>
    </r>
  </si>
  <si>
    <r>
      <t xml:space="preserve">Selected output capacitance ESR. </t>
    </r>
    <r>
      <rPr>
        <b/>
        <sz val="11"/>
        <color theme="1"/>
        <rFont val="Calibri"/>
        <family val="2"/>
        <scheme val="minor"/>
      </rPr>
      <t>*Need to add a requirement here for the maximum value</t>
    </r>
  </si>
  <si>
    <t>Step 6: Soft-start Capacitor selection</t>
  </si>
  <si>
    <t>Step 7: UVLO Resistor Selection</t>
  </si>
  <si>
    <t>Step 8: Loop Compensation</t>
  </si>
  <si>
    <r>
      <t xml:space="preserve">Select the lower crossover frequency </t>
    </r>
    <r>
      <rPr>
        <b/>
        <sz val="11"/>
        <color theme="1"/>
        <rFont val="Calibri"/>
        <family val="2"/>
        <scheme val="minor"/>
      </rPr>
      <t>(typically going to set to 1/5th the RHP zero)</t>
    </r>
  </si>
  <si>
    <r>
      <t xml:space="preserve">Flags if the regulator is operating in CCM or DCM (1 = CCM, 0 = DCM). </t>
    </r>
    <r>
      <rPr>
        <b/>
        <sz val="11"/>
        <color theme="1"/>
        <rFont val="Calibri"/>
        <family val="2"/>
        <scheme val="minor"/>
      </rPr>
      <t>*Currently set to CCM all the time to enusure the calculations are correct for CCM</t>
    </r>
  </si>
  <si>
    <t>*DCM operation is not modeled is disabled on the loop compensation. Needs to be modeled for a SEPIC</t>
  </si>
  <si>
    <t>Check this value</t>
  </si>
  <si>
    <t>DC_VIN_Var</t>
  </si>
  <si>
    <r>
      <t xml:space="preserve">0 - DCM operation, 1- CCM opertaion. </t>
    </r>
    <r>
      <rPr>
        <b/>
        <sz val="11"/>
        <color theme="1"/>
        <rFont val="Calibri"/>
        <family val="2"/>
        <scheme val="minor"/>
      </rPr>
      <t>Always set to CCM right now</t>
    </r>
  </si>
  <si>
    <t>Needs to be updated for DCM operation</t>
  </si>
  <si>
    <r>
      <t xml:space="preserve">Conservative. Set Fcross to be 1/6th the RHP zero frequency or 1/10th SW: whichever is lower. </t>
    </r>
    <r>
      <rPr>
        <b/>
        <sz val="11"/>
        <color theme="1"/>
        <rFont val="Calibri"/>
        <family val="2"/>
        <scheme val="minor"/>
      </rPr>
      <t>Note this is just for CCM operation</t>
    </r>
  </si>
  <si>
    <t>Coils are not included in the efficiency calculations</t>
  </si>
  <si>
    <t>Inductor (Written of the switch on SEPIC)</t>
  </si>
  <si>
    <r>
      <t>SEPIC Regulator Duty Cycle Limit by LM5155/56 at V</t>
    </r>
    <r>
      <rPr>
        <vertAlign val="subscript"/>
        <sz val="10"/>
        <color theme="1"/>
        <rFont val="Calibri"/>
        <family val="2"/>
        <scheme val="minor"/>
      </rPr>
      <t>SUPPLY(MIN)</t>
    </r>
  </si>
  <si>
    <r>
      <t>Selected Peak Current limit (IL</t>
    </r>
    <r>
      <rPr>
        <vertAlign val="subscript"/>
        <sz val="11"/>
        <color theme="1"/>
        <rFont val="Calibri"/>
        <family val="2"/>
        <scheme val="minor"/>
      </rPr>
      <t>SW_select</t>
    </r>
    <r>
      <rPr>
        <sz val="11"/>
        <color theme="1"/>
        <rFont val="Calibri"/>
        <family val="2"/>
        <scheme val="minor"/>
      </rPr>
      <t>)</t>
    </r>
  </si>
  <si>
    <t>Rev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</si>
</sst>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00"/>
    <numFmt numFmtId="165" formatCode="0.000E+00"/>
    <numFmt numFmtId="166" formatCode="0.0000"/>
    <numFmt numFmtId="167" formatCode="0.0000E+00"/>
    <numFmt numFmtId="168" formatCode="0.0"/>
    <numFmt numFmtId="169" formatCode="0.00000"/>
    <numFmt numFmtId="170" formatCode="0.000000E+00"/>
  </numFmts>
  <fonts count="42"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2"/>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sz val="18"/>
      <color theme="0"/>
      <name val="Calibri"/>
      <family val="2"/>
      <scheme val="minor"/>
    </font>
    <font>
      <vertAlign val="subscript"/>
      <sz val="10"/>
      <name val="Arial"/>
      <family val="2"/>
    </font>
    <font>
      <vertAlign val="subscript"/>
      <sz val="11"/>
      <name val="Calibri"/>
      <family val="2"/>
      <scheme val="minor"/>
    </font>
    <font>
      <b/>
      <sz val="11"/>
      <color theme="4"/>
      <name val="Calibri"/>
      <family val="2"/>
      <scheme val="minor"/>
    </font>
    <font>
      <b/>
      <sz val="9"/>
      <color indexed="10"/>
      <name val="Tahoma"/>
      <family val="2"/>
    </font>
    <font>
      <vertAlign val="subscript"/>
      <sz val="9"/>
      <color indexed="81"/>
      <name val="Tahoma"/>
      <family val="2"/>
    </font>
    <font>
      <sz val="11"/>
      <color indexed="10"/>
      <name val="Calibri"/>
      <family val="2"/>
      <scheme val="minor"/>
    </font>
    <font>
      <sz val="11"/>
      <color rgb="FFFF0000"/>
      <name val="Calibri"/>
      <family val="2"/>
      <scheme val="minor"/>
    </font>
    <font>
      <sz val="11"/>
      <color rgb="FF0070C0"/>
      <name val="Calibri"/>
      <family val="2"/>
      <scheme val="minor"/>
    </font>
    <font>
      <b/>
      <u/>
      <sz val="11"/>
      <color theme="1"/>
      <name val="Calibri"/>
      <family val="2"/>
      <scheme val="minor"/>
    </font>
    <font>
      <sz val="9"/>
      <color indexed="10"/>
      <name val="Tahoma"/>
      <family val="2"/>
    </font>
    <font>
      <b/>
      <sz val="11"/>
      <color indexed="81"/>
      <name val="Tahoma"/>
      <family val="2"/>
    </font>
    <font>
      <i/>
      <sz val="11"/>
      <color theme="1"/>
      <name val="Calibri"/>
      <family val="2"/>
      <scheme val="minor"/>
    </font>
    <font>
      <b/>
      <vertAlign val="subscript"/>
      <sz val="11"/>
      <color rgb="FF0070C0"/>
      <name val="Calibri"/>
      <family val="2"/>
      <scheme val="minor"/>
    </font>
  </fonts>
  <fills count="18">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theme="1"/>
        <bgColor indexed="64"/>
      </patternFill>
    </fill>
  </fills>
  <borders count="27">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8">
    <xf numFmtId="0" fontId="0" fillId="0" borderId="0"/>
    <xf numFmtId="0" fontId="3" fillId="0" borderId="0"/>
    <xf numFmtId="43" fontId="4" fillId="0" borderId="0" applyFont="0" applyFill="0" applyBorder="0" applyAlignment="0" applyProtection="0"/>
    <xf numFmtId="0" fontId="4" fillId="0" borderId="0"/>
    <xf numFmtId="0" fontId="1" fillId="0" borderId="0"/>
    <xf numFmtId="43" fontId="1" fillId="0" borderId="0" applyFont="0" applyFill="0" applyBorder="0" applyAlignment="0" applyProtection="0"/>
    <xf numFmtId="0" fontId="4" fillId="0" borderId="0"/>
    <xf numFmtId="0" fontId="4" fillId="0" borderId="0"/>
  </cellStyleXfs>
  <cellXfs count="257">
    <xf numFmtId="0" fontId="0" fillId="0" borderId="0" xfId="0"/>
    <xf numFmtId="0" fontId="0" fillId="9" borderId="0" xfId="0" applyFill="1"/>
    <xf numFmtId="0" fontId="17" fillId="0" borderId="0" xfId="0" applyFont="1"/>
    <xf numFmtId="0" fontId="0" fillId="10" borderId="0" xfId="0" applyFill="1"/>
    <xf numFmtId="0" fontId="0" fillId="0" borderId="0" xfId="0"/>
    <xf numFmtId="0" fontId="4" fillId="0" borderId="0" xfId="3"/>
    <xf numFmtId="0" fontId="5" fillId="0" borderId="0" xfId="3" applyFont="1" applyFill="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4" fillId="0" borderId="0" xfId="3"/>
    <xf numFmtId="0" fontId="5" fillId="0" borderId="0" xfId="3" applyFont="1"/>
    <xf numFmtId="0" fontId="5" fillId="0" borderId="0" xfId="3" applyFont="1" applyFill="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applyBorder="1"/>
    <xf numFmtId="0" fontId="5" fillId="0" borderId="0" xfId="3" applyFont="1" applyBorder="1" applyAlignment="1">
      <alignment horizontal="center"/>
    </xf>
    <xf numFmtId="0" fontId="4" fillId="0" borderId="0" xfId="3"/>
    <xf numFmtId="0" fontId="9" fillId="0" borderId="0" xfId="3" applyFont="1" applyBorder="1"/>
    <xf numFmtId="0" fontId="5" fillId="0" borderId="0" xfId="3" applyFont="1" applyAlignment="1">
      <alignment horizontal="center"/>
    </xf>
    <xf numFmtId="2" fontId="0" fillId="10" borderId="0" xfId="0" applyNumberFormat="1" applyFill="1"/>
    <xf numFmtId="0" fontId="0" fillId="11" borderId="0" xfId="0" applyFill="1"/>
    <xf numFmtId="165" fontId="0" fillId="9" borderId="0" xfId="0" applyNumberFormat="1" applyFill="1"/>
    <xf numFmtId="0" fontId="5" fillId="0" borderId="0" xfId="3" applyFont="1" applyFill="1" applyAlignment="1">
      <alignment horizontal="right"/>
    </xf>
    <xf numFmtId="0" fontId="4" fillId="0" borderId="0" xfId="3" applyFont="1" applyFill="1" applyAlignment="1">
      <alignment horizontal="center"/>
    </xf>
    <xf numFmtId="0" fontId="5" fillId="0" borderId="0" xfId="3" applyFont="1" applyFill="1"/>
    <xf numFmtId="0" fontId="0" fillId="0" borderId="0" xfId="0" applyFill="1"/>
    <xf numFmtId="164" fontId="0" fillId="9" borderId="0" xfId="0" applyNumberFormat="1" applyFill="1"/>
    <xf numFmtId="2" fontId="0" fillId="9" borderId="0" xfId="0" applyNumberFormat="1" applyFill="1"/>
    <xf numFmtId="1" fontId="0" fillId="9" borderId="0" xfId="0" applyNumberFormat="1" applyFill="1"/>
    <xf numFmtId="0" fontId="16" fillId="0" borderId="0" xfId="0" applyFont="1" applyFill="1" applyBorder="1"/>
    <xf numFmtId="0" fontId="0" fillId="0" borderId="0" xfId="0"/>
    <xf numFmtId="164" fontId="0" fillId="0" borderId="0" xfId="0" applyNumberFormat="1"/>
    <xf numFmtId="11" fontId="15" fillId="10" borderId="0" xfId="0" applyNumberFormat="1" applyFont="1" applyFill="1"/>
    <xf numFmtId="0" fontId="18" fillId="0" borderId="0" xfId="0" applyFont="1"/>
    <xf numFmtId="0" fontId="5" fillId="0" borderId="0" xfId="3" applyFont="1" applyAlignment="1">
      <alignment horizontal="center"/>
    </xf>
    <xf numFmtId="167" fontId="0" fillId="9" borderId="0" xfId="0" applyNumberFormat="1" applyFill="1"/>
    <xf numFmtId="11" fontId="0" fillId="9" borderId="0" xfId="0" applyNumberFormat="1" applyFill="1"/>
    <xf numFmtId="0" fontId="0" fillId="0" borderId="0" xfId="0" applyFont="1"/>
    <xf numFmtId="0" fontId="5" fillId="0" borderId="0" xfId="3" applyFont="1" applyFill="1" applyAlignment="1">
      <alignment horizontal="left"/>
    </xf>
    <xf numFmtId="166" fontId="0" fillId="9" borderId="0" xfId="0" applyNumberFormat="1" applyFill="1"/>
    <xf numFmtId="0" fontId="15" fillId="10" borderId="0" xfId="0" applyFont="1" applyFill="1"/>
    <xf numFmtId="0" fontId="20" fillId="0" borderId="0" xfId="0" applyFont="1"/>
    <xf numFmtId="0" fontId="22" fillId="0" borderId="0" xfId="0" applyFont="1"/>
    <xf numFmtId="0" fontId="0" fillId="12" borderId="0" xfId="0" applyFill="1"/>
    <xf numFmtId="1" fontId="0" fillId="0" borderId="0" xfId="0" applyNumberFormat="1"/>
    <xf numFmtId="0" fontId="5" fillId="0" borderId="0" xfId="3" applyFont="1" applyAlignment="1">
      <alignment horizontal="center"/>
    </xf>
    <xf numFmtId="0" fontId="23" fillId="0" borderId="0" xfId="0" applyFont="1"/>
    <xf numFmtId="0" fontId="24" fillId="0" borderId="0" xfId="0" applyFont="1"/>
    <xf numFmtId="164" fontId="4" fillId="0" borderId="0" xfId="3" applyNumberFormat="1"/>
    <xf numFmtId="0" fontId="0" fillId="0" borderId="0" xfId="0" applyBorder="1"/>
    <xf numFmtId="2" fontId="0" fillId="0" borderId="0" xfId="0" applyNumberFormat="1" applyBorder="1"/>
    <xf numFmtId="0" fontId="25" fillId="0" borderId="0" xfId="0" applyFont="1"/>
    <xf numFmtId="2" fontId="0" fillId="0" borderId="5" xfId="0" applyNumberFormat="1" applyBorder="1"/>
    <xf numFmtId="2" fontId="0" fillId="0" borderId="7" xfId="0" applyNumberFormat="1" applyBorder="1"/>
    <xf numFmtId="0" fontId="4" fillId="0" borderId="8" xfId="3" applyBorder="1"/>
    <xf numFmtId="0" fontId="0" fillId="0" borderId="8" xfId="0" applyBorder="1"/>
    <xf numFmtId="0" fontId="4" fillId="0" borderId="8" xfId="3" applyFill="1" applyBorder="1"/>
    <xf numFmtId="0" fontId="4" fillId="0" borderId="9" xfId="3" applyFill="1" applyBorder="1"/>
    <xf numFmtId="0" fontId="0" fillId="0" borderId="5" xfId="0" applyBorder="1"/>
    <xf numFmtId="0" fontId="4" fillId="0" borderId="7" xfId="3" applyBorder="1"/>
    <xf numFmtId="0" fontId="4" fillId="0" borderId="7" xfId="3" applyFill="1" applyBorder="1"/>
    <xf numFmtId="0" fontId="0" fillId="0" borderId="6" xfId="0" applyBorder="1"/>
    <xf numFmtId="0" fontId="0" fillId="0" borderId="7" xfId="0" applyBorder="1"/>
    <xf numFmtId="0" fontId="0" fillId="0" borderId="9" xfId="0" applyBorder="1"/>
    <xf numFmtId="164" fontId="0" fillId="0" borderId="0" xfId="0" applyNumberFormat="1" applyBorder="1"/>
    <xf numFmtId="164" fontId="0" fillId="0" borderId="8" xfId="0" applyNumberFormat="1" applyBorder="1"/>
    <xf numFmtId="0" fontId="4" fillId="0" borderId="5" xfId="3" applyBorder="1"/>
    <xf numFmtId="2" fontId="0" fillId="0" borderId="10" xfId="0" applyNumberFormat="1" applyBorder="1"/>
    <xf numFmtId="0" fontId="26" fillId="0" borderId="0" xfId="0" applyFont="1"/>
    <xf numFmtId="0" fontId="27" fillId="0" borderId="0" xfId="3" applyFont="1"/>
    <xf numFmtId="168" fontId="0" fillId="0" borderId="0" xfId="0" applyNumberFormat="1"/>
    <xf numFmtId="0" fontId="0" fillId="0" borderId="2" xfId="0" applyBorder="1"/>
    <xf numFmtId="164" fontId="4" fillId="0" borderId="3" xfId="3" applyNumberFormat="1" applyBorder="1"/>
    <xf numFmtId="0" fontId="4" fillId="0" borderId="3" xfId="3" applyBorder="1"/>
    <xf numFmtId="0" fontId="0" fillId="0" borderId="3" xfId="0" applyBorder="1"/>
    <xf numFmtId="0" fontId="4" fillId="0" borderId="2" xfId="3" applyBorder="1"/>
    <xf numFmtId="164" fontId="0" fillId="0" borderId="3" xfId="0" applyNumberFormat="1" applyBorder="1"/>
    <xf numFmtId="0" fontId="0" fillId="0" borderId="4" xfId="0" applyBorder="1"/>
    <xf numFmtId="164" fontId="4" fillId="0" borderId="0" xfId="3" applyNumberFormat="1" applyBorder="1"/>
    <xf numFmtId="0" fontId="4" fillId="0" borderId="0" xfId="3" applyBorder="1"/>
    <xf numFmtId="164" fontId="4" fillId="0" borderId="8" xfId="3" applyNumberFormat="1" applyBorder="1"/>
    <xf numFmtId="0" fontId="4" fillId="0" borderId="0" xfId="3" applyFill="1" applyBorder="1"/>
    <xf numFmtId="0" fontId="4" fillId="0" borderId="5" xfId="3" applyFill="1" applyBorder="1"/>
    <xf numFmtId="0" fontId="4" fillId="0" borderId="6" xfId="3" applyFill="1" applyBorder="1"/>
    <xf numFmtId="0" fontId="0" fillId="0" borderId="10" xfId="0" applyBorder="1"/>
    <xf numFmtId="0" fontId="0" fillId="0" borderId="11" xfId="0" applyBorder="1"/>
    <xf numFmtId="164" fontId="4" fillId="0" borderId="11" xfId="3" applyNumberFormat="1" applyBorder="1"/>
    <xf numFmtId="0" fontId="4" fillId="0" borderId="11" xfId="3" applyBorder="1"/>
    <xf numFmtId="0" fontId="4" fillId="0" borderId="10" xfId="3" applyBorder="1"/>
    <xf numFmtId="164" fontId="0" fillId="0" borderId="11" xfId="0" applyNumberFormat="1" applyBorder="1"/>
    <xf numFmtId="0" fontId="0" fillId="0" borderId="12" xfId="0" applyBorder="1"/>
    <xf numFmtId="1" fontId="0" fillId="0" borderId="4" xfId="0" applyNumberFormat="1" applyBorder="1"/>
    <xf numFmtId="1" fontId="0" fillId="0" borderId="6" xfId="0" applyNumberFormat="1" applyBorder="1"/>
    <xf numFmtId="1" fontId="0" fillId="0" borderId="9" xfId="0" applyNumberFormat="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Font="1" applyFill="1" applyBorder="1" applyAlignment="1" applyProtection="1">
      <alignment horizontal="left"/>
    </xf>
    <xf numFmtId="0" fontId="4" fillId="0" borderId="8" xfId="3" applyFont="1" applyFill="1" applyBorder="1" applyAlignment="1" applyProtection="1">
      <alignment horizontal="left"/>
    </xf>
    <xf numFmtId="0" fontId="5" fillId="0" borderId="0" xfId="3" applyFont="1" applyAlignment="1">
      <alignment horizontal="center"/>
    </xf>
    <xf numFmtId="0" fontId="0" fillId="0" borderId="13" xfId="0" applyFill="1" applyBorder="1"/>
    <xf numFmtId="0" fontId="0" fillId="14" borderId="13" xfId="0" applyFill="1" applyBorder="1"/>
    <xf numFmtId="0" fontId="0" fillId="0" borderId="19" xfId="0" applyBorder="1"/>
    <xf numFmtId="0" fontId="0" fillId="0" borderId="14" xfId="0" applyFill="1" applyBorder="1"/>
    <xf numFmtId="0" fontId="0" fillId="14" borderId="15" xfId="0" applyFill="1" applyBorder="1"/>
    <xf numFmtId="0" fontId="0" fillId="0"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5"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0" fillId="6" borderId="0" xfId="0" applyFill="1" applyBorder="1" applyProtection="1">
      <protection hidden="1"/>
    </xf>
    <xf numFmtId="0" fontId="15" fillId="8" borderId="0" xfId="0" applyFont="1" applyFill="1" applyProtection="1">
      <protection hidden="1"/>
    </xf>
    <xf numFmtId="0" fontId="0" fillId="15" borderId="0" xfId="0" applyFill="1" applyProtection="1">
      <protection hidden="1"/>
    </xf>
    <xf numFmtId="0" fontId="0" fillId="8" borderId="0" xfId="0" applyFill="1" applyBorder="1" applyProtection="1">
      <protection hidden="1"/>
    </xf>
    <xf numFmtId="0" fontId="0" fillId="8" borderId="0" xfId="0" applyFill="1" applyBorder="1" applyAlignment="1" applyProtection="1">
      <alignment horizontal="right"/>
      <protection hidden="1"/>
    </xf>
    <xf numFmtId="0" fontId="15" fillId="8" borderId="0" xfId="0" applyFont="1" applyFill="1" applyBorder="1" applyProtection="1">
      <protection hidden="1"/>
    </xf>
    <xf numFmtId="0" fontId="0" fillId="15" borderId="0" xfId="0" applyFill="1" applyBorder="1" applyProtection="1">
      <protection hidden="1"/>
    </xf>
    <xf numFmtId="0" fontId="2" fillId="8" borderId="0" xfId="0" applyFont="1" applyFill="1" applyBorder="1" applyProtection="1">
      <protection hidden="1"/>
    </xf>
    <xf numFmtId="0" fontId="0" fillId="7" borderId="0" xfId="0" applyFill="1" applyBorder="1" applyProtection="1">
      <protection hidden="1"/>
    </xf>
    <xf numFmtId="0" fontId="2" fillId="8" borderId="0" xfId="0" quotePrefix="1" applyFont="1" applyFill="1" applyBorder="1" applyProtection="1">
      <protection hidden="1"/>
    </xf>
    <xf numFmtId="0" fontId="2" fillId="8" borderId="0" xfId="0" applyFont="1" applyFill="1" applyBorder="1" applyAlignment="1" applyProtection="1">
      <alignment horizontal="right"/>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5" fillId="8" borderId="1" xfId="0" applyFont="1" applyFill="1" applyBorder="1" applyProtection="1">
      <protection hidden="1"/>
    </xf>
    <xf numFmtId="0" fontId="0" fillId="15" borderId="1" xfId="0" applyFill="1" applyBorder="1" applyProtection="1">
      <protection hidden="1"/>
    </xf>
    <xf numFmtId="0" fontId="0" fillId="16" borderId="0" xfId="0" applyFill="1" applyProtection="1">
      <protection hidden="1"/>
    </xf>
    <xf numFmtId="0" fontId="0" fillId="16" borderId="0" xfId="0" applyFill="1" applyAlignment="1" applyProtection="1">
      <alignment horizontal="right"/>
      <protection hidden="1"/>
    </xf>
    <xf numFmtId="49" fontId="0" fillId="16" borderId="0" xfId="0" applyNumberFormat="1" applyFill="1" applyProtection="1">
      <protection hidden="1"/>
    </xf>
    <xf numFmtId="0" fontId="0" fillId="16" borderId="0" xfId="0" applyFill="1" applyBorder="1" applyProtection="1">
      <protection hidden="1"/>
    </xf>
    <xf numFmtId="0" fontId="16" fillId="16" borderId="0" xfId="0" applyFont="1" applyFill="1" applyProtection="1">
      <protection hidden="1"/>
    </xf>
    <xf numFmtId="0" fontId="0" fillId="16" borderId="2" xfId="0" applyFill="1" applyBorder="1" applyProtection="1">
      <protection hidden="1"/>
    </xf>
    <xf numFmtId="0" fontId="0" fillId="16" borderId="3" xfId="0" applyFill="1" applyBorder="1" applyProtection="1">
      <protection hidden="1"/>
    </xf>
    <xf numFmtId="0" fontId="13" fillId="16" borderId="3" xfId="3" applyFont="1" applyFill="1" applyBorder="1" applyAlignment="1" applyProtection="1">
      <alignment horizontal="right"/>
      <protection hidden="1"/>
    </xf>
    <xf numFmtId="0" fontId="0" fillId="16" borderId="4" xfId="0" applyFill="1" applyBorder="1" applyProtection="1">
      <protection hidden="1"/>
    </xf>
    <xf numFmtId="0" fontId="0" fillId="16" borderId="5" xfId="0" applyFill="1" applyBorder="1" applyProtection="1">
      <protection hidden="1"/>
    </xf>
    <xf numFmtId="0" fontId="13" fillId="16" borderId="0" xfId="3" applyFont="1" applyFill="1" applyBorder="1" applyAlignment="1" applyProtection="1">
      <alignment horizontal="right"/>
      <protection hidden="1"/>
    </xf>
    <xf numFmtId="0" fontId="0" fillId="16" borderId="6" xfId="0" applyFill="1" applyBorder="1" applyProtection="1">
      <protection hidden="1"/>
    </xf>
    <xf numFmtId="0" fontId="13" fillId="16" borderId="5" xfId="0" applyFont="1" applyFill="1" applyBorder="1" applyProtection="1">
      <protection hidden="1"/>
    </xf>
    <xf numFmtId="0" fontId="13" fillId="16" borderId="0" xfId="0" applyFont="1" applyFill="1" applyBorder="1" applyProtection="1">
      <protection hidden="1"/>
    </xf>
    <xf numFmtId="0" fontId="13" fillId="16" borderId="0" xfId="0" applyFont="1" applyFill="1" applyBorder="1" applyAlignment="1" applyProtection="1">
      <alignment horizontal="right"/>
      <protection hidden="1"/>
    </xf>
    <xf numFmtId="0" fontId="13" fillId="16" borderId="7" xfId="0" applyFont="1" applyFill="1" applyBorder="1" applyProtection="1">
      <protection hidden="1"/>
    </xf>
    <xf numFmtId="0" fontId="13" fillId="16" borderId="8" xfId="0" applyFont="1" applyFill="1" applyBorder="1" applyProtection="1">
      <protection hidden="1"/>
    </xf>
    <xf numFmtId="0" fontId="0" fillId="16" borderId="8" xfId="0" applyFill="1" applyBorder="1" applyProtection="1">
      <protection hidden="1"/>
    </xf>
    <xf numFmtId="0" fontId="13" fillId="16" borderId="8" xfId="0" applyFont="1" applyFill="1" applyBorder="1" applyAlignment="1" applyProtection="1">
      <alignment horizontal="right"/>
      <protection hidden="1"/>
    </xf>
    <xf numFmtId="0" fontId="0" fillId="16" borderId="9" xfId="0" applyFill="1" applyBorder="1" applyProtection="1">
      <protection hidden="1"/>
    </xf>
    <xf numFmtId="0" fontId="13" fillId="16" borderId="0" xfId="0" applyFont="1" applyFill="1" applyProtection="1">
      <protection hidden="1"/>
    </xf>
    <xf numFmtId="0" fontId="16" fillId="16" borderId="0" xfId="0" applyFont="1" applyFill="1" applyBorder="1" applyProtection="1">
      <protection hidden="1"/>
    </xf>
    <xf numFmtId="0" fontId="13" fillId="16" borderId="3" xfId="0" applyFont="1" applyFill="1" applyBorder="1" applyProtection="1">
      <protection hidden="1"/>
    </xf>
    <xf numFmtId="0" fontId="0" fillId="16" borderId="7" xfId="0" applyFill="1" applyBorder="1" applyProtection="1">
      <protection hidden="1"/>
    </xf>
    <xf numFmtId="0" fontId="13" fillId="16" borderId="8" xfId="3" applyFont="1" applyFill="1" applyBorder="1" applyAlignment="1" applyProtection="1">
      <alignment horizontal="right"/>
      <protection hidden="1"/>
    </xf>
    <xf numFmtId="0" fontId="0" fillId="16" borderId="0" xfId="0" applyFill="1" applyBorder="1" applyAlignment="1" applyProtection="1">
      <alignment horizontal="right"/>
      <protection hidden="1"/>
    </xf>
    <xf numFmtId="0" fontId="17" fillId="16" borderId="6" xfId="0" applyFont="1" applyFill="1" applyBorder="1" applyProtection="1">
      <protection hidden="1"/>
    </xf>
    <xf numFmtId="0" fontId="0" fillId="16" borderId="8" xfId="0" applyFill="1" applyBorder="1" applyAlignment="1" applyProtection="1">
      <alignment horizontal="right"/>
      <protection hidden="1"/>
    </xf>
    <xf numFmtId="0" fontId="17" fillId="16" borderId="9" xfId="0" applyFont="1" applyFill="1" applyBorder="1" applyProtection="1">
      <protection hidden="1"/>
    </xf>
    <xf numFmtId="0" fontId="0" fillId="16" borderId="3" xfId="0" applyFill="1" applyBorder="1" applyAlignment="1" applyProtection="1">
      <alignment horizontal="right"/>
      <protection hidden="1"/>
    </xf>
    <xf numFmtId="0" fontId="16" fillId="16" borderId="2" xfId="0" applyFont="1" applyFill="1" applyBorder="1" applyProtection="1">
      <protection hidden="1"/>
    </xf>
    <xf numFmtId="0" fontId="15" fillId="16" borderId="3" xfId="0" applyFont="1" applyFill="1" applyBorder="1" applyAlignment="1" applyProtection="1">
      <alignment horizontal="right"/>
      <protection hidden="1"/>
    </xf>
    <xf numFmtId="0" fontId="16" fillId="16" borderId="5" xfId="0" applyFont="1" applyFill="1" applyBorder="1" applyProtection="1">
      <protection hidden="1"/>
    </xf>
    <xf numFmtId="0" fontId="23" fillId="16" borderId="0" xfId="0" applyFont="1" applyFill="1" applyBorder="1" applyAlignment="1" applyProtection="1">
      <alignment horizontal="right"/>
      <protection hidden="1"/>
    </xf>
    <xf numFmtId="0" fontId="0" fillId="0" borderId="0" xfId="0" applyBorder="1" applyProtection="1">
      <protection hidden="1"/>
    </xf>
    <xf numFmtId="0" fontId="0" fillId="16" borderId="0" xfId="0" applyFill="1" applyBorder="1" applyAlignment="1" applyProtection="1">
      <alignment horizontal="center"/>
      <protection hidden="1"/>
    </xf>
    <xf numFmtId="0" fontId="0" fillId="16" borderId="6" xfId="0" applyFill="1" applyBorder="1" applyAlignment="1" applyProtection="1">
      <alignment horizontal="center"/>
      <protection hidden="1"/>
    </xf>
    <xf numFmtId="1" fontId="0" fillId="16" borderId="0" xfId="0" applyNumberFormat="1" applyFill="1" applyProtection="1">
      <protection hidden="1"/>
    </xf>
    <xf numFmtId="0" fontId="0" fillId="0" borderId="0" xfId="0" applyFill="1" applyProtection="1">
      <protection hidden="1"/>
    </xf>
    <xf numFmtId="0" fontId="28" fillId="13" borderId="0" xfId="0" applyFont="1" applyFill="1" applyProtection="1">
      <protection hidden="1"/>
    </xf>
    <xf numFmtId="0" fontId="0" fillId="13" borderId="0" xfId="0" applyFill="1" applyProtection="1">
      <protection hidden="1"/>
    </xf>
    <xf numFmtId="0" fontId="0" fillId="13" borderId="0" xfId="0" applyFill="1" applyAlignment="1" applyProtection="1">
      <alignment horizontal="right"/>
      <protection hidden="1"/>
    </xf>
    <xf numFmtId="0" fontId="0" fillId="17" borderId="0" xfId="0" applyFill="1" applyProtection="1">
      <protection hidden="1"/>
    </xf>
    <xf numFmtId="0" fontId="0" fillId="17" borderId="0" xfId="0" applyFill="1" applyBorder="1" applyProtection="1">
      <protection hidden="1"/>
    </xf>
    <xf numFmtId="0" fontId="31" fillId="16" borderId="0" xfId="0" applyFont="1" applyFill="1" applyBorder="1" applyAlignment="1" applyProtection="1">
      <alignment horizontal="left"/>
      <protection hidden="1"/>
    </xf>
    <xf numFmtId="0" fontId="4" fillId="16" borderId="3" xfId="3" applyFont="1" applyFill="1" applyBorder="1" applyAlignment="1" applyProtection="1">
      <alignment horizontal="right"/>
      <protection hidden="1"/>
    </xf>
    <xf numFmtId="0" fontId="4" fillId="16" borderId="4" xfId="3" applyFont="1" applyFill="1" applyBorder="1" applyProtection="1">
      <protection hidden="1"/>
    </xf>
    <xf numFmtId="0" fontId="0" fillId="0" borderId="0" xfId="0" applyProtection="1">
      <protection hidden="1"/>
    </xf>
    <xf numFmtId="0" fontId="4" fillId="16" borderId="0" xfId="3" applyFont="1" applyFill="1" applyBorder="1" applyAlignment="1" applyProtection="1">
      <alignment horizontal="right"/>
      <protection hidden="1"/>
    </xf>
    <xf numFmtId="0" fontId="4" fillId="16" borderId="6" xfId="3" applyFont="1" applyFill="1" applyBorder="1" applyProtection="1">
      <protection hidden="1"/>
    </xf>
    <xf numFmtId="0" fontId="4" fillId="16" borderId="8" xfId="3" applyFont="1" applyFill="1" applyBorder="1" applyAlignment="1" applyProtection="1">
      <alignment horizontal="right"/>
      <protection hidden="1"/>
    </xf>
    <xf numFmtId="0" fontId="4" fillId="16" borderId="9" xfId="3" applyFont="1" applyFill="1" applyBorder="1" applyProtection="1">
      <protection hidden="1"/>
    </xf>
    <xf numFmtId="0" fontId="31" fillId="16" borderId="0" xfId="0" applyFont="1" applyFill="1" applyAlignment="1" applyProtection="1">
      <alignment horizontal="left"/>
      <protection hidden="1"/>
    </xf>
    <xf numFmtId="0" fontId="0" fillId="8" borderId="0" xfId="0" applyFill="1" applyProtection="1">
      <protection hidden="1"/>
    </xf>
    <xf numFmtId="0" fontId="0" fillId="8" borderId="0" xfId="0" applyFill="1" applyAlignment="1" applyProtection="1">
      <alignment horizontal="right"/>
      <protection hidden="1"/>
    </xf>
    <xf numFmtId="0" fontId="0" fillId="15" borderId="0" xfId="0" applyFill="1" applyAlignment="1" applyProtection="1">
      <alignment horizontal="right"/>
      <protection hidden="1"/>
    </xf>
    <xf numFmtId="0" fontId="15" fillId="15" borderId="0" xfId="0" applyFont="1" applyFill="1" applyProtection="1">
      <protection hidden="1"/>
    </xf>
    <xf numFmtId="0" fontId="35" fillId="16"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6" borderId="25" xfId="0" applyNumberFormat="1" applyFill="1" applyBorder="1" applyProtection="1">
      <protection hidden="1"/>
    </xf>
    <xf numFmtId="0" fontId="0" fillId="16" borderId="25" xfId="0" applyFill="1" applyBorder="1" applyProtection="1">
      <protection hidden="1"/>
    </xf>
    <xf numFmtId="2" fontId="0" fillId="0" borderId="26" xfId="0" applyNumberFormat="1" applyBorder="1" applyProtection="1">
      <protection hidden="1"/>
    </xf>
    <xf numFmtId="1" fontId="0" fillId="16" borderId="25" xfId="0" applyNumberFormat="1" applyFill="1" applyBorder="1" applyProtection="1">
      <protection hidden="1"/>
    </xf>
    <xf numFmtId="2" fontId="0" fillId="16"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164" fontId="0" fillId="0" borderId="26"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ont="1" applyFill="1" applyBorder="1" applyAlignment="1" applyProtection="1">
      <alignment vertical="top"/>
      <protection hidden="1"/>
    </xf>
    <xf numFmtId="0" fontId="0" fillId="0" borderId="25" xfId="0" applyFont="1" applyFill="1" applyBorder="1" applyAlignment="1" applyProtection="1">
      <alignment vertical="top"/>
      <protection hidden="1"/>
    </xf>
    <xf numFmtId="164" fontId="0" fillId="16" borderId="25" xfId="0" applyNumberFormat="1" applyFill="1" applyBorder="1" applyProtection="1">
      <protection hidden="1"/>
    </xf>
    <xf numFmtId="0" fontId="0" fillId="16" borderId="25" xfId="0" applyFill="1" applyBorder="1" applyAlignment="1" applyProtection="1">
      <alignment horizontal="center"/>
      <protection hidden="1"/>
    </xf>
    <xf numFmtId="1" fontId="0" fillId="16" borderId="7" xfId="0" applyNumberFormat="1" applyFill="1" applyBorder="1" applyProtection="1">
      <protection hidden="1"/>
    </xf>
    <xf numFmtId="164" fontId="0" fillId="16" borderId="10" xfId="0" applyNumberFormat="1" applyFill="1" applyBorder="1" applyProtection="1">
      <protection hidden="1"/>
    </xf>
    <xf numFmtId="0" fontId="0" fillId="7" borderId="23" xfId="0" applyFill="1" applyBorder="1" applyProtection="1">
      <protection locked="0" hidden="1"/>
    </xf>
    <xf numFmtId="2" fontId="0" fillId="16" borderId="10" xfId="0" applyNumberFormat="1" applyFill="1" applyBorder="1" applyProtection="1">
      <protection hidden="1"/>
    </xf>
    <xf numFmtId="0" fontId="0" fillId="0" borderId="24" xfId="0" applyBorder="1" applyProtection="1">
      <protection hidden="1"/>
    </xf>
    <xf numFmtId="0" fontId="17" fillId="16" borderId="23" xfId="0" applyFont="1" applyFill="1" applyBorder="1" applyAlignment="1" applyProtection="1">
      <alignment horizontal="left"/>
      <protection hidden="1"/>
    </xf>
    <xf numFmtId="0" fontId="0" fillId="16" borderId="26" xfId="0" applyFill="1" applyBorder="1" applyAlignment="1" applyProtection="1">
      <alignment horizontal="left"/>
      <protection hidden="1"/>
    </xf>
    <xf numFmtId="0" fontId="0" fillId="7" borderId="0" xfId="0" applyFill="1"/>
    <xf numFmtId="0" fontId="36" fillId="0" borderId="0" xfId="0" applyFont="1" applyFill="1" applyBorder="1"/>
    <xf numFmtId="0" fontId="37" fillId="0" borderId="0" xfId="0" applyFont="1"/>
    <xf numFmtId="0" fontId="0" fillId="0" borderId="0" xfId="0" applyBorder="1" applyAlignment="1">
      <alignment horizontal="center"/>
    </xf>
    <xf numFmtId="0" fontId="23" fillId="0" borderId="11" xfId="0" applyFont="1" applyBorder="1" applyAlignment="1">
      <alignment horizontal="center"/>
    </xf>
    <xf numFmtId="0" fontId="0" fillId="11" borderId="0" xfId="0" applyFont="1" applyFill="1"/>
    <xf numFmtId="11" fontId="0" fillId="0" borderId="0" xfId="0" applyNumberFormat="1" applyFill="1"/>
    <xf numFmtId="168" fontId="0" fillId="16" borderId="25" xfId="0" applyNumberFormat="1" applyFill="1" applyBorder="1" applyProtection="1">
      <protection hidden="1"/>
    </xf>
    <xf numFmtId="168" fontId="0" fillId="16" borderId="26" xfId="0" applyNumberFormat="1" applyFill="1" applyBorder="1" applyProtection="1">
      <protection hidden="1"/>
    </xf>
    <xf numFmtId="0" fontId="3" fillId="0" borderId="8" xfId="3" applyFont="1" applyFill="1" applyBorder="1"/>
    <xf numFmtId="0" fontId="3" fillId="0" borderId="8" xfId="3" applyFont="1" applyBorder="1"/>
    <xf numFmtId="0" fontId="3" fillId="0" borderId="0" xfId="3" applyFont="1" applyFill="1" applyBorder="1"/>
    <xf numFmtId="0" fontId="23" fillId="16" borderId="24" xfId="0" applyFont="1" applyFill="1" applyBorder="1" applyAlignment="1" applyProtection="1">
      <alignment horizontal="center"/>
      <protection hidden="1"/>
    </xf>
    <xf numFmtId="0" fontId="13" fillId="16" borderId="3" xfId="0" applyFont="1" applyFill="1" applyBorder="1" applyAlignment="1" applyProtection="1">
      <alignment horizontal="right"/>
      <protection hidden="1"/>
    </xf>
    <xf numFmtId="169" fontId="0" fillId="9" borderId="0" xfId="0" applyNumberFormat="1" applyFill="1"/>
    <xf numFmtId="165" fontId="0" fillId="0" borderId="0" xfId="0" applyNumberFormat="1" applyFill="1"/>
    <xf numFmtId="11" fontId="15" fillId="0" borderId="0" xfId="0" applyNumberFormat="1" applyFont="1" applyFill="1"/>
    <xf numFmtId="0" fontId="40" fillId="0" borderId="0" xfId="0" applyFont="1"/>
    <xf numFmtId="164" fontId="0" fillId="0" borderId="0" xfId="0" applyNumberFormat="1" applyFill="1"/>
    <xf numFmtId="2" fontId="0" fillId="16" borderId="24" xfId="0" applyNumberFormat="1" applyFill="1" applyBorder="1" applyProtection="1">
      <protection hidden="1"/>
    </xf>
    <xf numFmtId="170" fontId="0" fillId="9" borderId="0" xfId="0" applyNumberFormat="1" applyFill="1"/>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23" fillId="0" borderId="10" xfId="0" applyFont="1" applyBorder="1" applyAlignment="1">
      <alignment horizontal="center"/>
    </xf>
    <xf numFmtId="0" fontId="23" fillId="0" borderId="11" xfId="0" applyFont="1" applyBorder="1" applyAlignment="1">
      <alignment horizontal="center"/>
    </xf>
    <xf numFmtId="0" fontId="23" fillId="0" borderId="12" xfId="0" applyFont="1" applyBorder="1" applyAlignment="1">
      <alignment horizontal="center"/>
    </xf>
    <xf numFmtId="0" fontId="4" fillId="0" borderId="0" xfId="3"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3" fillId="0" borderId="5" xfId="0" applyFont="1" applyBorder="1" applyAlignment="1">
      <alignment horizontal="center"/>
    </xf>
    <xf numFmtId="0" fontId="23" fillId="0" borderId="0" xfId="0" applyFont="1" applyBorder="1" applyAlignment="1">
      <alignment horizontal="center"/>
    </xf>
    <xf numFmtId="0" fontId="23" fillId="9" borderId="0" xfId="0" applyFont="1" applyFill="1" applyAlignment="1">
      <alignment horizontal="center"/>
    </xf>
  </cellXfs>
  <cellStyles count="8">
    <cellStyle name="Comma 2" xfId="5" xr:uid="{00000000-0005-0000-0000-000000000000}"/>
    <cellStyle name="Comma 3" xfId="2" xr:uid="{00000000-0005-0000-0000-000001000000}"/>
    <cellStyle name="Normal" xfId="0" builtinId="0"/>
    <cellStyle name="Normal 2" xfId="3" xr:uid="{00000000-0005-0000-0000-000003000000}"/>
    <cellStyle name="Normal 3" xfId="4" xr:uid="{00000000-0005-0000-0000-000004000000}"/>
    <cellStyle name="Normal 4" xfId="1" xr:uid="{00000000-0005-0000-0000-000005000000}"/>
    <cellStyle name="Normal 4 2" xfId="7" xr:uid="{00000000-0005-0000-0000-000006000000}"/>
    <cellStyle name="Normal 4 3" xfId="6" xr:uid="{00000000-0005-0000-0000-000007000000}"/>
  </cellStyles>
  <dxfs count="8">
    <dxf>
      <fill>
        <patternFill>
          <bgColor rgb="FFFF0000"/>
        </patternFill>
      </fill>
    </dxf>
    <dxf>
      <fill>
        <patternFill>
          <bgColor rgb="FFFF0000"/>
        </patternFill>
      </fill>
    </dxf>
    <dxf>
      <font>
        <color rgb="FFFF0000"/>
      </font>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64.230737843148233</c:v>
                </c:pt>
                <c:pt idx="1">
                  <c:v>64.030515252986632</c:v>
                </c:pt>
                <c:pt idx="2">
                  <c:v>63.830282186891054</c:v>
                </c:pt>
                <c:pt idx="3">
                  <c:v>63.630038152534986</c:v>
                </c:pt>
                <c:pt idx="4">
                  <c:v>63.429782634523207</c:v>
                </c:pt>
                <c:pt idx="5">
                  <c:v>63.229515093316877</c:v>
                </c:pt>
                <c:pt idx="6">
                  <c:v>63.029234964110678</c:v>
                </c:pt>
                <c:pt idx="7">
                  <c:v>62.82894165565655</c:v>
                </c:pt>
                <c:pt idx="8">
                  <c:v>62.628634549035112</c:v>
                </c:pt>
                <c:pt idx="9">
                  <c:v>62.428312996369769</c:v>
                </c:pt>
                <c:pt idx="10">
                  <c:v>62.22797631948233</c:v>
                </c:pt>
                <c:pt idx="11">
                  <c:v>62.027623808487618</c:v>
                </c:pt>
                <c:pt idx="12">
                  <c:v>61.827254720322912</c:v>
                </c:pt>
                <c:pt idx="13">
                  <c:v>61.626868277211678</c:v>
                </c:pt>
                <c:pt idx="14">
                  <c:v>61.426463665056673</c:v>
                </c:pt>
                <c:pt idx="15">
                  <c:v>61.22604003176032</c:v>
                </c:pt>
                <c:pt idx="16">
                  <c:v>61.025596485469215</c:v>
                </c:pt>
                <c:pt idx="17">
                  <c:v>60.825132092738556</c:v>
                </c:pt>
                <c:pt idx="18">
                  <c:v>60.624645876615197</c:v>
                </c:pt>
                <c:pt idx="19">
                  <c:v>60.424136814632341</c:v>
                </c:pt>
                <c:pt idx="20">
                  <c:v>60.223603836716173</c:v>
                </c:pt>
                <c:pt idx="21">
                  <c:v>60.023045822997581</c:v>
                </c:pt>
                <c:pt idx="22">
                  <c:v>59.822461601526065</c:v>
                </c:pt>
                <c:pt idx="23">
                  <c:v>59.621849945882168</c:v>
                </c:pt>
                <c:pt idx="24">
                  <c:v>59.421209572683381</c:v>
                </c:pt>
                <c:pt idx="25">
                  <c:v>59.220539138979674</c:v>
                </c:pt>
                <c:pt idx="26">
                  <c:v>59.019837239533857</c:v>
                </c:pt>
                <c:pt idx="27">
                  <c:v>58.819102403982065</c:v>
                </c:pt>
                <c:pt idx="28">
                  <c:v>58.618333093869559</c:v>
                </c:pt>
                <c:pt idx="29">
                  <c:v>58.417527699557027</c:v>
                </c:pt>
                <c:pt idx="30">
                  <c:v>58.216684536991892</c:v>
                </c:pt>
                <c:pt idx="31">
                  <c:v>58.015801844339208</c:v>
                </c:pt>
                <c:pt idx="32">
                  <c:v>57.814877778467363</c:v>
                </c:pt>
                <c:pt idx="33">
                  <c:v>57.613910411282028</c:v>
                </c:pt>
                <c:pt idx="34">
                  <c:v>57.412897725903576</c:v>
                </c:pt>
                <c:pt idx="35">
                  <c:v>57.211837612680782</c:v>
                </c:pt>
                <c:pt idx="36">
                  <c:v>57.010727865036131</c:v>
                </c:pt>
                <c:pt idx="37">
                  <c:v>56.809566175135572</c:v>
                </c:pt>
                <c:pt idx="38">
                  <c:v>56.608350129376277</c:v>
                </c:pt>
                <c:pt idx="39">
                  <c:v>56.407077203687088</c:v>
                </c:pt>
                <c:pt idx="40">
                  <c:v>56.205744758633628</c:v>
                </c:pt>
                <c:pt idx="41">
                  <c:v>56.0043500343224</c:v>
                </c:pt>
                <c:pt idx="42">
                  <c:v>55.80289014509659</c:v>
                </c:pt>
                <c:pt idx="43">
                  <c:v>55.601362074016983</c:v>
                </c:pt>
                <c:pt idx="44">
                  <c:v>55.399762667121159</c:v>
                </c:pt>
                <c:pt idx="45">
                  <c:v>55.198088627453984</c:v>
                </c:pt>
                <c:pt idx="46">
                  <c:v>54.996336508861752</c:v>
                </c:pt>
                <c:pt idx="47">
                  <c:v>54.794502709544872</c:v>
                </c:pt>
                <c:pt idx="48">
                  <c:v>54.592583465359887</c:v>
                </c:pt>
                <c:pt idx="49">
                  <c:v>54.390574842866116</c:v>
                </c:pt>
                <c:pt idx="50">
                  <c:v>54.188472732109261</c:v>
                </c:pt>
                <c:pt idx="51">
                  <c:v>53.986272839134799</c:v>
                </c:pt>
                <c:pt idx="52">
                  <c:v>53.783970678227</c:v>
                </c:pt>
                <c:pt idx="53">
                  <c:v>53.581561563865478</c:v>
                </c:pt>
                <c:pt idx="54">
                  <c:v>53.379040602394014</c:v>
                </c:pt>
                <c:pt idx="55">
                  <c:v>53.176402683398017</c:v>
                </c:pt>
                <c:pt idx="56">
                  <c:v>52.973642470782771</c:v>
                </c:pt>
                <c:pt idx="57">
                  <c:v>52.770754393551243</c:v>
                </c:pt>
                <c:pt idx="58">
                  <c:v>52.567732636275515</c:v>
                </c:pt>
                <c:pt idx="59">
                  <c:v>52.36457112926027</c:v>
                </c:pt>
                <c:pt idx="60">
                  <c:v>52.161263538395431</c:v>
                </c:pt>
                <c:pt idx="61">
                  <c:v>51.957803254696763</c:v>
                </c:pt>
                <c:pt idx="62">
                  <c:v>51.75418338353478</c:v>
                </c:pt>
                <c:pt idx="63">
                  <c:v>51.550396733552503</c:v>
                </c:pt>
                <c:pt idx="64">
                  <c:v>51.346435805274936</c:v>
                </c:pt>
                <c:pt idx="65">
                  <c:v>51.142292779412799</c:v>
                </c:pt>
                <c:pt idx="66">
                  <c:v>50.93795950486804</c:v>
                </c:pt>
                <c:pt idx="67">
                  <c:v>50.733427486446566</c:v>
                </c:pt>
                <c:pt idx="68">
                  <c:v>50.528687872288216</c:v>
                </c:pt>
                <c:pt idx="69">
                  <c:v>50.3237314410256</c:v>
                </c:pt>
                <c:pt idx="70">
                  <c:v>50.118548588686018</c:v>
                </c:pt>
                <c:pt idx="71">
                  <c:v>49.913129315351497</c:v>
                </c:pt>
                <c:pt idx="72">
                  <c:v>49.707463211598828</c:v>
                </c:pt>
                <c:pt idx="73">
                  <c:v>49.501539444739883</c:v>
                </c:pt>
                <c:pt idx="74">
                  <c:v>49.295346744890473</c:v>
                </c:pt>
                <c:pt idx="75">
                  <c:v>49.088873390895095</c:v>
                </c:pt>
                <c:pt idx="76">
                  <c:v>48.882107196144162</c:v>
                </c:pt>
                <c:pt idx="77">
                  <c:v>48.67503549431931</c:v>
                </c:pt>
                <c:pt idx="78">
                  <c:v>48.467645125111183</c:v>
                </c:pt>
                <c:pt idx="79">
                  <c:v>48.25992241995629</c:v>
                </c:pt>
                <c:pt idx="80">
                  <c:v>48.051853187846632</c:v>
                </c:pt>
                <c:pt idx="81">
                  <c:v>47.843422701271223</c:v>
                </c:pt>
                <c:pt idx="82">
                  <c:v>47.634615682352347</c:v>
                </c:pt>
                <c:pt idx="83">
                  <c:v>47.425416289248908</c:v>
                </c:pt>
                <c:pt idx="84">
                  <c:v>47.215808102904695</c:v>
                </c:pt>
                <c:pt idx="85">
                  <c:v>47.005774114225147</c:v>
                </c:pt>
                <c:pt idx="86">
                  <c:v>46.79529671177437</c:v>
                </c:pt>
                <c:pt idx="87">
                  <c:v>46.584357670093809</c:v>
                </c:pt>
                <c:pt idx="88">
                  <c:v>46.372938138747386</c:v>
                </c:pt>
                <c:pt idx="89">
                  <c:v>46.161018632210613</c:v>
                </c:pt>
                <c:pt idx="90">
                  <c:v>45.948579020726257</c:v>
                </c:pt>
                <c:pt idx="91">
                  <c:v>45.735598522259764</c:v>
                </c:pt>
                <c:pt idx="92">
                  <c:v>45.522055695694512</c:v>
                </c:pt>
                <c:pt idx="93">
                  <c:v>45.307928435417381</c:v>
                </c:pt>
                <c:pt idx="94">
                  <c:v>45.093193967451271</c:v>
                </c:pt>
                <c:pt idx="95">
                  <c:v>44.877828847303014</c:v>
                </c:pt>
                <c:pt idx="96">
                  <c:v>44.661808959699201</c:v>
                </c:pt>
                <c:pt idx="97">
                  <c:v>44.445109520394169</c:v>
                </c:pt>
                <c:pt idx="98">
                  <c:v>44.227705080239097</c:v>
                </c:pt>
                <c:pt idx="99">
                  <c:v>44.009569531708891</c:v>
                </c:pt>
                <c:pt idx="100">
                  <c:v>43.790676118089571</c:v>
                </c:pt>
                <c:pt idx="101">
                  <c:v>43.570997445533628</c:v>
                </c:pt>
                <c:pt idx="102">
                  <c:v>43.350505498194863</c:v>
                </c:pt>
                <c:pt idx="103">
                  <c:v>43.129171656656013</c:v>
                </c:pt>
                <c:pt idx="104">
                  <c:v>42.906966719865096</c:v>
                </c:pt>
                <c:pt idx="105">
                  <c:v>42.683860930794594</c:v>
                </c:pt>
                <c:pt idx="106">
                  <c:v>42.459824006034353</c:v>
                </c:pt>
                <c:pt idx="107">
                  <c:v>42.234825169526154</c:v>
                </c:pt>
                <c:pt idx="108">
                  <c:v>42.008833190639535</c:v>
                </c:pt>
                <c:pt idx="109">
                  <c:v>41.78181642677788</c:v>
                </c:pt>
                <c:pt idx="110">
                  <c:v>41.553742870693746</c:v>
                </c:pt>
                <c:pt idx="111">
                  <c:v>41.32458020267449</c:v>
                </c:pt>
                <c:pt idx="112">
                  <c:v>41.094295847740618</c:v>
                </c:pt>
                <c:pt idx="113">
                  <c:v>40.862857037980035</c:v>
                </c:pt>
                <c:pt idx="114">
                  <c:v>40.630230880111704</c:v>
                </c:pt>
                <c:pt idx="115">
                  <c:v>40.396384428346707</c:v>
                </c:pt>
                <c:pt idx="116">
                  <c:v>40.1612847625805</c:v>
                </c:pt>
                <c:pt idx="117">
                  <c:v>39.924899071914425</c:v>
                </c:pt>
                <c:pt idx="118">
                  <c:v>39.687194743464879</c:v>
                </c:pt>
                <c:pt idx="119">
                  <c:v>39.448139456376474</c:v>
                </c:pt>
                <c:pt idx="120">
                  <c:v>39.207701280908445</c:v>
                </c:pt>
                <c:pt idx="121">
                  <c:v>38.965848782415492</c:v>
                </c:pt>
                <c:pt idx="122">
                  <c:v>38.722551129993725</c:v>
                </c:pt>
                <c:pt idx="123">
                  <c:v>38.47777820950752</c:v>
                </c:pt>
                <c:pt idx="124">
                  <c:v>38.231500740660593</c:v>
                </c:pt>
                <c:pt idx="125">
                  <c:v>37.983690397716273</c:v>
                </c:pt>
                <c:pt idx="126">
                  <c:v>37.734319933420714</c:v>
                </c:pt>
                <c:pt idx="127">
                  <c:v>37.483363305622255</c:v>
                </c:pt>
                <c:pt idx="128">
                  <c:v>37.230795806031189</c:v>
                </c:pt>
                <c:pt idx="129">
                  <c:v>36.97659419050914</c:v>
                </c:pt>
                <c:pt idx="130">
                  <c:v>36.720736810232069</c:v>
                </c:pt>
                <c:pt idx="131">
                  <c:v>36.463203743023385</c:v>
                </c:pt>
                <c:pt idx="132">
                  <c:v>36.203976924115935</c:v>
                </c:pt>
                <c:pt idx="133">
                  <c:v>35.943040275568386</c:v>
                </c:pt>
                <c:pt idx="134">
                  <c:v>35.680379833532491</c:v>
                </c:pt>
                <c:pt idx="135">
                  <c:v>35.415983872549099</c:v>
                </c:pt>
                <c:pt idx="136">
                  <c:v>35.149843026038646</c:v>
                </c:pt>
                <c:pt idx="137">
                  <c:v>34.881950402148874</c:v>
                </c:pt>
                <c:pt idx="138">
                  <c:v>34.612301694126934</c:v>
                </c:pt>
                <c:pt idx="139">
                  <c:v>34.34089528439894</c:v>
                </c:pt>
                <c:pt idx="140">
                  <c:v>34.067732341563257</c:v>
                </c:pt>
                <c:pt idx="141">
                  <c:v>33.792816909538004</c:v>
                </c:pt>
                <c:pt idx="142">
                  <c:v>33.516155988144021</c:v>
                </c:pt>
                <c:pt idx="143">
                  <c:v>33.237759604456386</c:v>
                </c:pt>
                <c:pt idx="144">
                  <c:v>32.957640874315935</c:v>
                </c:pt>
                <c:pt idx="145">
                  <c:v>32.675816053456387</c:v>
                </c:pt>
                <c:pt idx="146">
                  <c:v>32.392304577777473</c:v>
                </c:pt>
                <c:pt idx="147">
                  <c:v>32.107129092367046</c:v>
                </c:pt>
                <c:pt idx="148">
                  <c:v>31.820315468960942</c:v>
                </c:pt>
                <c:pt idx="149">
                  <c:v>31.531892811607314</c:v>
                </c:pt>
                <c:pt idx="150">
                  <c:v>31.241893450391665</c:v>
                </c:pt>
                <c:pt idx="151">
                  <c:v>30.950352923159819</c:v>
                </c:pt>
                <c:pt idx="152">
                  <c:v>30.657309945262167</c:v>
                </c:pt>
                <c:pt idx="153">
                  <c:v>30.362806367421264</c:v>
                </c:pt>
                <c:pt idx="154">
                  <c:v>30.066887121903179</c:v>
                </c:pt>
                <c:pt idx="155">
                  <c:v>29.769600157246387</c:v>
                </c:pt>
                <c:pt idx="156">
                  <c:v>29.470996361866057</c:v>
                </c:pt>
                <c:pt idx="157">
                  <c:v>29.17112947691362</c:v>
                </c:pt>
                <c:pt idx="158">
                  <c:v>28.870055998827219</c:v>
                </c:pt>
                <c:pt idx="159">
                  <c:v>28.567835072049519</c:v>
                </c:pt>
                <c:pt idx="160">
                  <c:v>28.264528372432231</c:v>
                </c:pt>
                <c:pt idx="161">
                  <c:v>27.960199981878205</c:v>
                </c:pt>
                <c:pt idx="162">
                  <c:v>27.654916254790159</c:v>
                </c:pt>
                <c:pt idx="163">
                  <c:v>27.348745676919563</c:v>
                </c:pt>
                <c:pt idx="164">
                  <c:v>27.041758717215082</c:v>
                </c:pt>
                <c:pt idx="165">
                  <c:v>26.734027673273456</c:v>
                </c:pt>
                <c:pt idx="166">
                  <c:v>26.425626511000516</c:v>
                </c:pt>
                <c:pt idx="167">
                  <c:v>26.116630699080361</c:v>
                </c:pt>
                <c:pt idx="168">
                  <c:v>25.807117038845817</c:v>
                </c:pt>
                <c:pt idx="169">
                  <c:v>25.497163490133129</c:v>
                </c:pt>
                <c:pt idx="170">
                  <c:v>25.18684899369017</c:v>
                </c:pt>
                <c:pt idx="171">
                  <c:v>24.876253290699868</c:v>
                </c:pt>
                <c:pt idx="172">
                  <c:v>24.565456739962904</c:v>
                </c:pt>
                <c:pt idx="173">
                  <c:v>24.254540133280326</c:v>
                </c:pt>
                <c:pt idx="174">
                  <c:v>23.94358450956037</c:v>
                </c:pt>
                <c:pt idx="175">
                  <c:v>23.632670968173972</c:v>
                </c:pt>
                <c:pt idx="176">
                  <c:v>23.321880482074434</c:v>
                </c:pt>
                <c:pt idx="177">
                  <c:v>23.011293711199382</c:v>
                </c:pt>
                <c:pt idx="178">
                  <c:v>22.700990816669766</c:v>
                </c:pt>
                <c:pt idx="179">
                  <c:v>22.391051276312453</c:v>
                </c:pt>
                <c:pt idx="180">
                  <c:v>22.081553702031496</c:v>
                </c:pt>
                <c:pt idx="181">
                  <c:v>21.772575659570371</c:v>
                </c:pt>
                <c:pt idx="182">
                  <c:v>21.464193491210921</c:v>
                </c:pt>
                <c:pt idx="183">
                  <c:v>21.156482141971949</c:v>
                </c:pt>
                <c:pt idx="184">
                  <c:v>20.84951498987985</c:v>
                </c:pt>
                <c:pt idx="185">
                  <c:v>20.543363680893385</c:v>
                </c:pt>
                <c:pt idx="186">
                  <c:v>20.238097969077032</c:v>
                </c:pt>
                <c:pt idx="187">
                  <c:v>19.933785562623758</c:v>
                </c:pt>
                <c:pt idx="188">
                  <c:v>19.630491976328585</c:v>
                </c:pt>
                <c:pt idx="189">
                  <c:v>19.328280391118604</c:v>
                </c:pt>
                <c:pt idx="190">
                  <c:v>19.027211521234925</c:v>
                </c:pt>
                <c:pt idx="191">
                  <c:v>18.727343489652338</c:v>
                </c:pt>
                <c:pt idx="192">
                  <c:v>18.428731712303801</c:v>
                </c:pt>
                <c:pt idx="193">
                  <c:v>18.131428791651196</c:v>
                </c:pt>
                <c:pt idx="194">
                  <c:v>17.835484420110749</c:v>
                </c:pt>
                <c:pt idx="195">
                  <c:v>17.54094529380253</c:v>
                </c:pt>
                <c:pt idx="196">
                  <c:v>17.247855037043884</c:v>
                </c:pt>
                <c:pt idx="197">
                  <c:v>16.956254137953092</c:v>
                </c:pt>
                <c:pt idx="198">
                  <c:v>16.666179895466399</c:v>
                </c:pt>
                <c:pt idx="199">
                  <c:v>16.377666378005177</c:v>
                </c:pt>
                <c:pt idx="200">
                  <c:v>16.090744393953937</c:v>
                </c:pt>
                <c:pt idx="201">
                  <c:v>15.805441474034295</c:v>
                </c:pt>
                <c:pt idx="202">
                  <c:v>15.521781865575663</c:v>
                </c:pt>
                <c:pt idx="203">
                  <c:v>15.239786538602617</c:v>
                </c:pt>
                <c:pt idx="204">
                  <c:v>14.959473203571573</c:v>
                </c:pt>
                <c:pt idx="205">
                  <c:v>14.680856340504494</c:v>
                </c:pt>
                <c:pt idx="206">
                  <c:v>14.403947239187293</c:v>
                </c:pt>
                <c:pt idx="207">
                  <c:v>14.128754050016632</c:v>
                </c:pt>
                <c:pt idx="208">
                  <c:v>13.855281845005132</c:v>
                </c:pt>
                <c:pt idx="209">
                  <c:v>13.583532688383981</c:v>
                </c:pt>
                <c:pt idx="210">
                  <c:v>13.313505716176088</c:v>
                </c:pt>
                <c:pt idx="211">
                  <c:v>13.045197224058713</c:v>
                </c:pt>
                <c:pt idx="212">
                  <c:v>12.778600762780865</c:v>
                </c:pt>
                <c:pt idx="213">
                  <c:v>12.513707240365726</c:v>
                </c:pt>
                <c:pt idx="214">
                  <c:v>12.250505030291759</c:v>
                </c:pt>
                <c:pt idx="215">
                  <c:v>11.988980084826961</c:v>
                </c:pt>
                <c:pt idx="216">
                  <c:v>11.729116052676996</c:v>
                </c:pt>
                <c:pt idx="217">
                  <c:v>11.470894400103166</c:v>
                </c:pt>
                <c:pt idx="218">
                  <c:v>11.214294534672467</c:v>
                </c:pt>
                <c:pt idx="219">
                  <c:v>10.959293930814502</c:v>
                </c:pt>
                <c:pt idx="220">
                  <c:v>10.705868256381281</c:v>
                </c:pt>
                <c:pt idx="221">
                  <c:v>10.453991499435634</c:v>
                </c:pt>
                <c:pt idx="222">
                  <c:v>10.203636094526709</c:v>
                </c:pt>
                <c:pt idx="223">
                  <c:v>9.9547730477534184</c:v>
                </c:pt>
                <c:pt idx="224">
                  <c:v>9.7073720599610027</c:v>
                </c:pt>
                <c:pt idx="225">
                  <c:v>9.4614016474648945</c:v>
                </c:pt>
                <c:pt idx="226">
                  <c:v>9.2168292597481241</c:v>
                </c:pt>
                <c:pt idx="227">
                  <c:v>8.973621393633394</c:v>
                </c:pt>
                <c:pt idx="228">
                  <c:v>8.7317437034837848</c:v>
                </c:pt>
                <c:pt idx="229">
                  <c:v>8.4911611070450697</c:v>
                </c:pt>
                <c:pt idx="230">
                  <c:v>8.251837886595462</c:v>
                </c:pt>
                <c:pt idx="231">
                  <c:v>8.0137377851237019</c:v>
                </c:pt>
                <c:pt idx="232">
                  <c:v>7.7768240973102545</c:v>
                </c:pt>
                <c:pt idx="233">
                  <c:v>7.541059755135807</c:v>
                </c:pt>
                <c:pt idx="234">
                  <c:v>7.3064074079910242</c:v>
                </c:pt>
                <c:pt idx="235">
                  <c:v>7.0728294972055474</c:v>
                </c:pt>
                <c:pt idx="236">
                  <c:v>6.840288324958351</c:v>
                </c:pt>
                <c:pt idx="237">
                  <c:v>6.608746117569563</c:v>
                </c:pt>
                <c:pt idx="238">
                  <c:v>6.3781650832101295</c:v>
                </c:pt>
                <c:pt idx="239">
                  <c:v>6.1485074640980972</c:v>
                </c:pt>
                <c:pt idx="240">
                  <c:v>5.9197355832787899</c:v>
                </c:pt>
                <c:pt idx="241">
                  <c:v>5.691811886112685</c:v>
                </c:pt>
                <c:pt idx="242">
                  <c:v>5.4646989766145673</c:v>
                </c:pt>
                <c:pt idx="243">
                  <c:v>5.2383596488100785</c:v>
                </c:pt>
                <c:pt idx="244">
                  <c:v>5.0127569132885785</c:v>
                </c:pt>
                <c:pt idx="245">
                  <c:v>4.7878540191459846</c:v>
                </c:pt>
                <c:pt idx="246">
                  <c:v>4.563614471521003</c:v>
                </c:pt>
                <c:pt idx="247">
                  <c:v>4.3400020449375303</c:v>
                </c:pt>
                <c:pt idx="248">
                  <c:v>4.1169807926705886</c:v>
                </c:pt>
                <c:pt idx="249">
                  <c:v>3.8945150523573133</c:v>
                </c:pt>
                <c:pt idx="250">
                  <c:v>3.6725694480780997</c:v>
                </c:pt>
                <c:pt idx="251">
                  <c:v>3.4511088891327462</c:v>
                </c:pt>
                <c:pt idx="252">
                  <c:v>3.2300985657349743</c:v>
                </c:pt>
                <c:pt idx="253">
                  <c:v>3.0095039418509066</c:v>
                </c:pt>
                <c:pt idx="254">
                  <c:v>2.7892907453995845</c:v>
                </c:pt>
                <c:pt idx="255">
                  <c:v>2.5694249560349252</c:v>
                </c:pt>
                <c:pt idx="256">
                  <c:v>2.3498727907238037</c:v>
                </c:pt>
                <c:pt idx="257">
                  <c:v>2.1306006873294998</c:v>
                </c:pt>
                <c:pt idx="258">
                  <c:v>1.9115752864074325</c:v>
                </c:pt>
                <c:pt idx="259">
                  <c:v>1.6927634114176959</c:v>
                </c:pt>
                <c:pt idx="260">
                  <c:v>1.4741320475498263</c:v>
                </c:pt>
                <c:pt idx="261">
                  <c:v>1.2556483193587344</c:v>
                </c:pt>
                <c:pt idx="262">
                  <c:v>1.0372794674005199</c:v>
                </c:pt>
                <c:pt idx="263">
                  <c:v>0.81899282405829055</c:v>
                </c:pt>
                <c:pt idx="264">
                  <c:v>0.60075578874572311</c:v>
                </c:pt>
                <c:pt idx="265">
                  <c:v>0.38253580266944442</c:v>
                </c:pt>
                <c:pt idx="266">
                  <c:v>0.16430032333589753</c:v>
                </c:pt>
                <c:pt idx="267">
                  <c:v>-5.3983201016529606E-2</c:v>
                </c:pt>
                <c:pt idx="268">
                  <c:v>-0.27234735687808348</c:v>
                </c:pt>
                <c:pt idx="269">
                  <c:v>-0.49082479063885631</c:v>
                </c:pt>
                <c:pt idx="270">
                  <c:v>-0.70944823328855722</c:v>
                </c:pt>
                <c:pt idx="271">
                  <c:v>-0.92825052445929979</c:v>
                </c:pt>
                <c:pt idx="272">
                  <c:v>-1.1472646356248049</c:v>
                </c:pt>
                <c:pt idx="273">
                  <c:v>-1.3665236922686881</c:v>
                </c:pt>
                <c:pt idx="274">
                  <c:v>-1.5860609948284048</c:v>
                </c:pt>
                <c:pt idx="275">
                  <c:v>-1.8059100382194311</c:v>
                </c:pt>
                <c:pt idx="276">
                  <c:v>-2.0261045297419278</c:v>
                </c:pt>
                <c:pt idx="277">
                  <c:v>-2.2466784051663264</c:v>
                </c:pt>
                <c:pt idx="278">
                  <c:v>-2.4676658427907308</c:v>
                </c:pt>
                <c:pt idx="279">
                  <c:v>-2.6891012752610828</c:v>
                </c:pt>
                <c:pt idx="280">
                  <c:v>-2.9110193989376714</c:v>
                </c:pt>
                <c:pt idx="281">
                  <c:v>-3.1334551805929918</c:v>
                </c:pt>
                <c:pt idx="282">
                  <c:v>-3.3564438612176621</c:v>
                </c:pt>
                <c:pt idx="283">
                  <c:v>-3.5800209567148493</c:v>
                </c:pt>
                <c:pt idx="284">
                  <c:v>-3.8042222552562692</c:v>
                </c:pt>
                <c:pt idx="285">
                  <c:v>-4.0290838110779532</c:v>
                </c:pt>
                <c:pt idx="286">
                  <c:v>-4.2546419344921382</c:v>
                </c:pt>
                <c:pt idx="287">
                  <c:v>-4.4809331778934478</c:v>
                </c:pt>
                <c:pt idx="288">
                  <c:v>-4.7079943175462597</c:v>
                </c:pt>
                <c:pt idx="289">
                  <c:v>-4.935862330939595</c:v>
                </c:pt>
                <c:pt idx="290">
                  <c:v>-5.1645743695126001</c:v>
                </c:pt>
                <c:pt idx="291">
                  <c:v>-5.3941677265562848</c:v>
                </c:pt>
                <c:pt idx="292">
                  <c:v>-5.6246798001178924</c:v>
                </c:pt>
                <c:pt idx="293">
                  <c:v>-5.8561480507462846</c:v>
                </c:pt>
                <c:pt idx="294">
                  <c:v>-6.0886099539379526</c:v>
                </c:pt>
                <c:pt idx="295">
                  <c:v>-6.3221029471662158</c:v>
                </c:pt>
                <c:pt idx="296">
                  <c:v>-6.5566643714012649</c:v>
                </c:pt>
                <c:pt idx="297">
                  <c:v>-6.7923314070591481</c:v>
                </c:pt>
                <c:pt idx="298">
                  <c:v>-7.0291410043508886</c:v>
                </c:pt>
                <c:pt idx="299">
                  <c:v>-7.2671298080379731</c:v>
                </c:pt>
                <c:pt idx="300">
                  <c:v>-7.5063340766426281</c:v>
                </c:pt>
                <c:pt idx="301">
                  <c:v>-7.7467895962020563</c:v>
                </c:pt>
                <c:pt idx="302">
                  <c:v>-7.9885315887047179</c:v>
                </c:pt>
                <c:pt idx="303">
                  <c:v>-8.2315946153927619</c:v>
                </c:pt>
                <c:pt idx="304">
                  <c:v>-8.4760124751691173</c:v>
                </c:pt>
                <c:pt idx="305">
                  <c:v>-8.7218180984003411</c:v>
                </c:pt>
                <c:pt idx="306">
                  <c:v>-8.9690434364596214</c:v>
                </c:pt>
                <c:pt idx="307">
                  <c:v>-9.2177193474131478</c:v>
                </c:pt>
                <c:pt idx="308">
                  <c:v>-9.4678754783087289</c:v>
                </c:pt>
                <c:pt idx="309">
                  <c:v>-9.7195401445782039</c:v>
                </c:pt>
                <c:pt idx="310">
                  <c:v>-9.9727402071242039</c:v>
                </c:pt>
                <c:pt idx="311">
                  <c:v>-10.227500947711171</c:v>
                </c:pt>
                <c:pt idx="312">
                  <c:v>-10.483845943330422</c:v>
                </c:pt>
                <c:pt idx="313">
                  <c:v>-10.741796940255153</c:v>
                </c:pt>
                <c:pt idx="314">
                  <c:v>-11.001373728540813</c:v>
                </c:pt>
                <c:pt idx="315">
                  <c:v>-11.262594017761572</c:v>
                </c:pt>
                <c:pt idx="316">
                  <c:v>-11.525473314803339</c:v>
                </c:pt>
                <c:pt idx="317">
                  <c:v>-11.790024804551837</c:v>
                </c:pt>
                <c:pt idx="318">
                  <c:v>-12.05625923433076</c:v>
                </c:pt>
                <c:pt idx="319">
                  <c:v>-12.32418480294718</c:v>
                </c:pt>
                <c:pt idx="320">
                  <c:v>-12.59380705519944</c:v>
                </c:pt>
                <c:pt idx="321">
                  <c:v>-12.865128782686124</c:v>
                </c:pt>
                <c:pt idx="322">
                  <c:v>-13.138149931735473</c:v>
                </c:pt>
                <c:pt idx="323">
                  <c:v>-13.412867519239448</c:v>
                </c:pt>
                <c:pt idx="324">
                  <c:v>-13.689275557138068</c:v>
                </c:pt>
                <c:pt idx="325">
                  <c:v>-13.967364986246562</c:v>
                </c:pt>
                <c:pt idx="326">
                  <c:v>-14.24712362006408</c:v>
                </c:pt>
                <c:pt idx="327">
                  <c:v>-14.528536099132426</c:v>
                </c:pt>
                <c:pt idx="328">
                  <c:v>-14.811583856447561</c:v>
                </c:pt>
                <c:pt idx="329">
                  <c:v>-15.096245094343018</c:v>
                </c:pt>
                <c:pt idx="330">
                  <c:v>-15.382494773189141</c:v>
                </c:pt>
                <c:pt idx="331">
                  <c:v>-15.670304612162413</c:v>
                </c:pt>
                <c:pt idx="332">
                  <c:v>-15.9596431022572</c:v>
                </c:pt>
                <c:pt idx="333">
                  <c:v>-16.250475531623433</c:v>
                </c:pt>
                <c:pt idx="334">
                  <c:v>-16.542764023227921</c:v>
                </c:pt>
                <c:pt idx="335">
                  <c:v>-16.836467584753848</c:v>
                </c:pt>
                <c:pt idx="336">
                  <c:v>-17.131542170573063</c:v>
                </c:pt>
                <c:pt idx="337">
                  <c:v>-17.427940755547453</c:v>
                </c:pt>
                <c:pt idx="338">
                  <c:v>-17.72561342034632</c:v>
                </c:pt>
                <c:pt idx="339">
                  <c:v>-18.024507447899335</c:v>
                </c:pt>
                <c:pt idx="340">
                  <c:v>-18.324567430547638</c:v>
                </c:pt>
                <c:pt idx="341">
                  <c:v>-18.625735387401086</c:v>
                </c:pt>
                <c:pt idx="342">
                  <c:v>-18.927950891366113</c:v>
                </c:pt>
                <c:pt idx="343">
                  <c:v>-19.231151205268365</c:v>
                </c:pt>
                <c:pt idx="344">
                  <c:v>-19.53527142646497</c:v>
                </c:pt>
                <c:pt idx="345">
                  <c:v>-19.840244639314182</c:v>
                </c:pt>
                <c:pt idx="346">
                  <c:v>-20.146002074852323</c:v>
                </c:pt>
                <c:pt idx="347">
                  <c:v>-20.452473277012579</c:v>
                </c:pt>
                <c:pt idx="348">
                  <c:v>-20.759586274714636</c:v>
                </c:pt>
                <c:pt idx="349">
                  <c:v>-21.067267759145135</c:v>
                </c:pt>
                <c:pt idx="350">
                  <c:v>-21.375443265550587</c:v>
                </c:pt>
                <c:pt idx="351">
                  <c:v>-21.684037358861733</c:v>
                </c:pt>
                <c:pt idx="352">
                  <c:v>-21.99297382247557</c:v>
                </c:pt>
                <c:pt idx="353">
                  <c:v>-22.302175849515976</c:v>
                </c:pt>
                <c:pt idx="354">
                  <c:v>-22.611566235908175</c:v>
                </c:pt>
                <c:pt idx="355">
                  <c:v>-22.921067574593266</c:v>
                </c:pt>
                <c:pt idx="356">
                  <c:v>-23.230602450220875</c:v>
                </c:pt>
                <c:pt idx="357">
                  <c:v>-23.540093633651949</c:v>
                </c:pt>
                <c:pt idx="358">
                  <c:v>-23.849464275606561</c:v>
                </c:pt>
                <c:pt idx="359">
                  <c:v>-24.158638098788114</c:v>
                </c:pt>
                <c:pt idx="360">
                  <c:v>-24.467539587812652</c:v>
                </c:pt>
                <c:pt idx="361">
                  <c:v>-24.776094176266774</c:v>
                </c:pt>
                <c:pt idx="362">
                  <c:v>-25.084228430214651</c:v>
                </c:pt>
                <c:pt idx="363">
                  <c:v>-25.391870227466686</c:v>
                </c:pt>
                <c:pt idx="364">
                  <c:v>-25.698948931920679</c:v>
                </c:pt>
                <c:pt idx="365">
                  <c:v>-26.005395562283752</c:v>
                </c:pt>
                <c:pt idx="366">
                  <c:v>-26.311142954478782</c:v>
                </c:pt>
                <c:pt idx="367">
                  <c:v>-26.616125917047434</c:v>
                </c:pt>
                <c:pt idx="368">
                  <c:v>-26.920281378863148</c:v>
                </c:pt>
                <c:pt idx="369">
                  <c:v>-27.223548528480723</c:v>
                </c:pt>
                <c:pt idx="370">
                  <c:v>-27.525868944466872</c:v>
                </c:pt>
                <c:pt idx="371">
                  <c:v>-27.827186716079137</c:v>
                </c:pt>
                <c:pt idx="372">
                  <c:v>-28.127448553687366</c:v>
                </c:pt>
                <c:pt idx="373">
                  <c:v>-28.426603888375372</c:v>
                </c:pt>
                <c:pt idx="374">
                  <c:v>-28.72460496020182</c:v>
                </c:pt>
                <c:pt idx="375">
                  <c:v>-29.021406894653758</c:v>
                </c:pt>
                <c:pt idx="376">
                  <c:v>-29.316967766888226</c:v>
                </c:pt>
                <c:pt idx="377">
                  <c:v>-29.611248653425712</c:v>
                </c:pt>
                <c:pt idx="378">
                  <c:v>-29.904213671037002</c:v>
                </c:pt>
                <c:pt idx="379">
                  <c:v>-30.195830002644939</c:v>
                </c:pt>
                <c:pt idx="380">
                  <c:v>-30.486067910156439</c:v>
                </c:pt>
                <c:pt idx="381">
                  <c:v>-30.77490073422603</c:v>
                </c:pt>
                <c:pt idx="382">
                  <c:v>-31.062304881059507</c:v>
                </c:pt>
                <c:pt idx="383">
                  <c:v>-31.348259796455935</c:v>
                </c:pt>
                <c:pt idx="384">
                  <c:v>-31.632747927393936</c:v>
                </c:pt>
                <c:pt idx="385">
                  <c:v>-31.915754671565971</c:v>
                </c:pt>
                <c:pt idx="386">
                  <c:v>-32.19726831536169</c:v>
                </c:pt>
                <c:pt idx="387">
                  <c:v>-32.477279960897846</c:v>
                </c:pt>
                <c:pt idx="388">
                  <c:v>-32.755783442783006</c:v>
                </c:pt>
                <c:pt idx="389">
                  <c:v>-33.032775235386126</c:v>
                </c:pt>
                <c:pt idx="390">
                  <c:v>-33.308254351457769</c:v>
                </c:pt>
                <c:pt idx="391">
                  <c:v>-33.582222233016985</c:v>
                </c:pt>
                <c:pt idx="392">
                  <c:v>-33.854682635477616</c:v>
                </c:pt>
                <c:pt idx="393">
                  <c:v>-34.125641506030895</c:v>
                </c:pt>
                <c:pt idx="394">
                  <c:v>-34.395106857339577</c:v>
                </c:pt>
                <c:pt idx="395">
                  <c:v>-34.663088637621911</c:v>
                </c:pt>
                <c:pt idx="396">
                  <c:v>-34.929598598210951</c:v>
                </c:pt>
                <c:pt idx="397">
                  <c:v>-35.194650159680101</c:v>
                </c:pt>
                <c:pt idx="398">
                  <c:v>-35.458258277604031</c:v>
                </c:pt>
                <c:pt idx="399">
                  <c:v>-35.720439309006167</c:v>
                </c:pt>
                <c:pt idx="400">
                  <c:v>-35.981210880498445</c:v>
                </c:pt>
                <c:pt idx="401">
                  <c:v>-36.240591759076885</c:v>
                </c:pt>
                <c:pt idx="402">
                  <c:v>-36.498601726473382</c:v>
                </c:pt>
                <c:pt idx="403">
                  <c:v>-36.755261457898371</c:v>
                </c:pt>
                <c:pt idx="404">
                  <c:v>-37.01059240593041</c:v>
                </c:pt>
                <c:pt idx="405">
                  <c:v>-37.264616690227967</c:v>
                </c:pt>
                <c:pt idx="406">
                  <c:v>-37.517356993646736</c:v>
                </c:pt>
                <c:pt idx="407">
                  <c:v>-37.768836465253806</c:v>
                </c:pt>
                <c:pt idx="408">
                  <c:v>-38.019078630634397</c:v>
                </c:pt>
                <c:pt idx="409">
                  <c:v>-38.26810730978751</c:v>
                </c:pt>
                <c:pt idx="410">
                  <c:v>-38.51594654280872</c:v>
                </c:pt>
                <c:pt idx="411">
                  <c:v>-38.762620523463745</c:v>
                </c:pt>
                <c:pt idx="412">
                  <c:v>-39.008153540662228</c:v>
                </c:pt>
                <c:pt idx="413">
                  <c:v>-39.252569927750244</c:v>
                </c:pt>
                <c:pt idx="414">
                  <c:v>-39.495894019456671</c:v>
                </c:pt>
                <c:pt idx="415">
                  <c:v>-39.738150116254324</c:v>
                </c:pt>
                <c:pt idx="416">
                  <c:v>-39.979362455820336</c:v>
                </c:pt>
                <c:pt idx="417">
                  <c:v>-40.219555191223861</c:v>
                </c:pt>
                <c:pt idx="418">
                  <c:v>-40.458752375413567</c:v>
                </c:pt>
                <c:pt idx="419">
                  <c:v>-40.696977951535985</c:v>
                </c:pt>
                <c:pt idx="420">
                  <c:v>-40.934255748577826</c:v>
                </c:pt>
                <c:pt idx="421">
                  <c:v>-41.170609481807332</c:v>
                </c:pt>
                <c:pt idx="422">
                  <c:v>-41.406062757469904</c:v>
                </c:pt>
                <c:pt idx="423">
                  <c:v>-41.640639081190258</c:v>
                </c:pt>
                <c:pt idx="424">
                  <c:v>-41.874361869538667</c:v>
                </c:pt>
                <c:pt idx="425">
                  <c:v>-42.107254464228035</c:v>
                </c:pt>
                <c:pt idx="426">
                  <c:v>-42.339340148430026</c:v>
                </c:pt>
                <c:pt idx="427">
                  <c:v>-42.570642164724639</c:v>
                </c:pt>
                <c:pt idx="428">
                  <c:v>-42.801183734229795</c:v>
                </c:pt>
                <c:pt idx="429">
                  <c:v>-43.030988076492484</c:v>
                </c:pt>
                <c:pt idx="430">
                  <c:v>-43.260078429767702</c:v>
                </c:pt>
                <c:pt idx="431">
                  <c:v>-43.488478071349867</c:v>
                </c:pt>
                <c:pt idx="432">
                  <c:v>-43.716210337669033</c:v>
                </c:pt>
                <c:pt idx="433">
                  <c:v>-43.94329864391068</c:v>
                </c:pt>
                <c:pt idx="434">
                  <c:v>-44.169766502959121</c:v>
                </c:pt>
                <c:pt idx="435">
                  <c:v>-44.395637543513075</c:v>
                </c:pt>
                <c:pt idx="436">
                  <c:v>-44.620935527262603</c:v>
                </c:pt>
                <c:pt idx="437">
                  <c:v>-44.845684365054041</c:v>
                </c:pt>
                <c:pt idx="438">
                  <c:v>-45.069908132011484</c:v>
                </c:pt>
                <c:pt idx="439">
                  <c:v>-45.293631081610172</c:v>
                </c:pt>
                <c:pt idx="440">
                  <c:v>-45.516877658733854</c:v>
                </c:pt>
                <c:pt idx="441">
                  <c:v>-45.739672511765434</c:v>
                </c:pt>
                <c:pt idx="442">
                  <c:v>-45.962040503790178</c:v>
                </c:pt>
                <c:pt idx="443">
                  <c:v>-46.18400672300038</c:v>
                </c:pt>
                <c:pt idx="444">
                  <c:v>-46.405596492408144</c:v>
                </c:pt>
                <c:pt idx="445">
                  <c:v>-46.626835378981781</c:v>
                </c:pt>
                <c:pt idx="446">
                  <c:v>-46.847749202324813</c:v>
                </c:pt>
                <c:pt idx="447">
                  <c:v>-47.068364043019514</c:v>
                </c:pt>
                <c:pt idx="448">
                  <c:v>-47.28870625075831</c:v>
                </c:pt>
                <c:pt idx="449">
                  <c:v>-47.508802452378248</c:v>
                </c:pt>
                <c:pt idx="450">
                  <c:v>-47.728679559910489</c:v>
                </c:pt>
                <c:pt idx="451">
                  <c:v>-47.948364778746082</c:v>
                </c:pt>
                <c:pt idx="452">
                  <c:v>-48.167885616011546</c:v>
                </c:pt>
                <c:pt idx="453">
                  <c:v>-48.387269889231533</c:v>
                </c:pt>
                <c:pt idx="454">
                  <c:v>-48.606545735345605</c:v>
                </c:pt>
                <c:pt idx="455">
                  <c:v>-48.825741620131417</c:v>
                </c:pt>
                <c:pt idx="456">
                  <c:v>-49.044886348069987</c:v>
                </c:pt>
                <c:pt idx="457">
                  <c:v>-49.264009072673581</c:v>
                </c:pt>
                <c:pt idx="458">
                  <c:v>-49.483139307283331</c:v>
                </c:pt>
                <c:pt idx="459">
                  <c:v>-49.702306936322024</c:v>
                </c:pt>
                <c:pt idx="460">
                  <c:v>-49.92154222697755</c:v>
                </c:pt>
                <c:pt idx="461">
                  <c:v>-50.140875841272276</c:v>
                </c:pt>
                <c:pt idx="462">
                  <c:v>-50.36033884845989</c:v>
                </c:pt>
                <c:pt idx="463">
                  <c:v>-50.579962737675011</c:v>
                </c:pt>
                <c:pt idx="464">
                  <c:v>-50.799779430745829</c:v>
                </c:pt>
                <c:pt idx="465">
                  <c:v>-51.019821295066734</c:v>
                </c:pt>
                <c:pt idx="466">
                  <c:v>-51.240121156411192</c:v>
                </c:pt>
                <c:pt idx="467">
                  <c:v>-51.46071231155473</c:v>
                </c:pt>
                <c:pt idx="468">
                  <c:v>-51.681628540562798</c:v>
                </c:pt>
                <c:pt idx="469">
                  <c:v>-51.902904118585894</c:v>
                </c:pt>
                <c:pt idx="470">
                  <c:v>-52.124573826994151</c:v>
                </c:pt>
                <c:pt idx="471">
                  <c:v>-52.346672963670969</c:v>
                </c:pt>
                <c:pt idx="472">
                  <c:v>-52.569237352275977</c:v>
                </c:pt>
                <c:pt idx="473">
                  <c:v>-52.792303350276015</c:v>
                </c:pt>
                <c:pt idx="474">
                  <c:v>-53.015907855539112</c:v>
                </c:pt>
                <c:pt idx="475">
                  <c:v>-53.2400883112713</c:v>
                </c:pt>
                <c:pt idx="476">
                  <c:v>-53.464882709075887</c:v>
                </c:pt>
                <c:pt idx="477">
                  <c:v>-53.69032958990617</c:v>
                </c:pt>
                <c:pt idx="478">
                  <c:v>-53.916468042678019</c:v>
                </c:pt>
                <c:pt idx="479">
                  <c:v>-54.143337700307313</c:v>
                </c:pt>
                <c:pt idx="480">
                  <c:v>-54.370978732934461</c:v>
                </c:pt>
                <c:pt idx="481">
                  <c:v>-54.599431838099477</c:v>
                </c:pt>
                <c:pt idx="482">
                  <c:v>-54.828738227631284</c:v>
                </c:pt>
                <c:pt idx="483">
                  <c:v>-55.058939611024257</c:v>
                </c:pt>
                <c:pt idx="484">
                  <c:v>-55.29007817507329</c:v>
                </c:pt>
                <c:pt idx="485">
                  <c:v>-55.522196559554544</c:v>
                </c:pt>
                <c:pt idx="486">
                  <c:v>-55.755337828749703</c:v>
                </c:pt>
                <c:pt idx="487">
                  <c:v>-55.989545438620674</c:v>
                </c:pt>
                <c:pt idx="488">
                  <c:v>-56.224863199465538</c:v>
                </c:pt>
                <c:pt idx="489">
                  <c:v>-56.461335233901764</c:v>
                </c:pt>
                <c:pt idx="490">
                  <c:v>-56.699005930051143</c:v>
                </c:pt>
                <c:pt idx="491">
                  <c:v>-56.937919889822112</c:v>
                </c:pt>
                <c:pt idx="492">
                  <c:v>-57.17812187222134</c:v>
                </c:pt>
                <c:pt idx="493">
                  <c:v>-57.419656731654037</c:v>
                </c:pt>
                <c:pt idx="494">
                  <c:v>-57.662569351216682</c:v>
                </c:pt>
                <c:pt idx="495">
                  <c:v>-57.906904571017968</c:v>
                </c:pt>
                <c:pt idx="496">
                  <c:v>-58.152707111614177</c:v>
                </c:pt>
                <c:pt idx="497">
                  <c:v>-58.400021492687166</c:v>
                </c:pt>
                <c:pt idx="498">
                  <c:v>-58.648891947141706</c:v>
                </c:pt>
                <c:pt idx="499">
                  <c:v>-58.899362330854146</c:v>
                </c:pt>
                <c:pt idx="500">
                  <c:v>-59.151476028348569</c:v>
                </c:pt>
                <c:pt idx="501">
                  <c:v>-59.405275854739216</c:v>
                </c:pt>
                <c:pt idx="502">
                  <c:v>-59.660803954324606</c:v>
                </c:pt>
                <c:pt idx="503">
                  <c:v>-59.918101696276523</c:v>
                </c:pt>
                <c:pt idx="504">
                  <c:v>-60.177209567916414</c:v>
                </c:pt>
                <c:pt idx="505">
                  <c:v>-60.43816706612656</c:v>
                </c:pt>
                <c:pt idx="506">
                  <c:v>-60.70101258748663</c:v>
                </c:pt>
                <c:pt idx="507">
                  <c:v>-60.965783317773514</c:v>
                </c:pt>
                <c:pt idx="508">
                  <c:v>-61.232515121502345</c:v>
                </c:pt>
                <c:pt idx="509">
                  <c:v>-61.501242432217296</c:v>
                </c:pt>
                <c:pt idx="510">
                  <c:v>-61.771998144273937</c:v>
                </c:pt>
                <c:pt idx="511">
                  <c:v>-62.044813506872273</c:v>
                </c:pt>
                <c:pt idx="512">
                  <c:v>-62.319718021112564</c:v>
                </c:pt>
                <c:pt idx="513">
                  <c:v>-62.596739340853695</c:v>
                </c:pt>
                <c:pt idx="514">
                  <c:v>-62.875903178145975</c:v>
                </c:pt>
                <c:pt idx="515">
                  <c:v>-63.157233213997664</c:v>
                </c:pt>
                <c:pt idx="516">
                  <c:v>-63.440751015213756</c:v>
                </c:pt>
                <c:pt idx="517">
                  <c:v>-63.726475958006944</c:v>
                </c:pt>
                <c:pt idx="518">
                  <c:v>-64.014425159044592</c:v>
                </c:pt>
                <c:pt idx="519">
                  <c:v>-64.304613414539432</c:v>
                </c:pt>
                <c:pt idx="520">
                  <c:v>-64.597053147933224</c:v>
                </c:pt>
                <c:pt idx="521">
                  <c:v>-64.891754366654425</c:v>
                </c:pt>
                <c:pt idx="522">
                  <c:v>-65.18872462835553</c:v>
                </c:pt>
                <c:pt idx="523">
                  <c:v>-65.487969016953912</c:v>
                </c:pt>
                <c:pt idx="524">
                  <c:v>-65.789490128714604</c:v>
                </c:pt>
                <c:pt idx="525">
                  <c:v>-66.09328806852389</c:v>
                </c:pt>
                <c:pt idx="526">
                  <c:v>-66.399360456408687</c:v>
                </c:pt>
                <c:pt idx="527">
                  <c:v>-66.707702444266033</c:v>
                </c:pt>
                <c:pt idx="528">
                  <c:v>-67.018306742673857</c:v>
                </c:pt>
                <c:pt idx="529">
                  <c:v>-67.331163657563906</c:v>
                </c:pt>
                <c:pt idx="530">
                  <c:v>-67.64626113645015</c:v>
                </c:pt>
                <c:pt idx="531">
                  <c:v>-67.963584823825641</c:v>
                </c:pt>
                <c:pt idx="532">
                  <c:v>-68.283118125261538</c:v>
                </c:pt>
                <c:pt idx="533">
                  <c:v>-68.604842279677044</c:v>
                </c:pt>
                <c:pt idx="534">
                  <c:v>-68.928736439181634</c:v>
                </c:pt>
                <c:pt idx="535">
                  <c:v>-69.254777755842383</c:v>
                </c:pt>
                <c:pt idx="536">
                  <c:v>-69.582941474683608</c:v>
                </c:pt>
                <c:pt idx="537">
                  <c:v>-69.913201032191026</c:v>
                </c:pt>
                <c:pt idx="538">
                  <c:v>-70.245528159567485</c:v>
                </c:pt>
                <c:pt idx="539">
                  <c:v>-70.579892989972862</c:v>
                </c:pt>
                <c:pt idx="540">
                  <c:v>-70.916264168973882</c:v>
                </c:pt>
                <c:pt idx="541">
                  <c:v>-71.254608967431977</c:v>
                </c:pt>
              </c:numCache>
            </c:numRef>
          </c:yVal>
          <c:smooth val="1"/>
          <c:extLst>
            <c:ext xmlns:c16="http://schemas.microsoft.com/office/drawing/2014/chart" uri="{C3380CC4-5D6E-409C-BE32-E72D297353CC}">
              <c16:uniqueId val="{00000000-7B61-4283-810C-F12CE5C5D333}"/>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7B61-4283-810C-F12CE5C5D333}"/>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7B61-4283-810C-F12CE5C5D333}"/>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297.08922710487127</c:v>
                </c:pt>
              </c:numCache>
            </c:numRef>
          </c:xVal>
          <c:yVal>
            <c:numRef>
              <c:f>Loop_Modeling!$BL$11</c:f>
              <c:numCache>
                <c:formatCode>General</c:formatCode>
                <c:ptCount val="1"/>
                <c:pt idx="0">
                  <c:v>32.310146925514211</c:v>
                </c:pt>
              </c:numCache>
            </c:numRef>
          </c:yVal>
          <c:smooth val="0"/>
          <c:extLst>
            <c:ext xmlns:c16="http://schemas.microsoft.com/office/drawing/2014/chart" uri="{C3380CC4-5D6E-409C-BE32-E72D297353CC}">
              <c16:uniqueId val="{00000002-7B61-4283-810C-F12CE5C5D333}"/>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7B61-4283-810C-F12CE5C5D333}"/>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65108.84035577537</c:v>
                </c:pt>
              </c:numCache>
            </c:numRef>
          </c:xVal>
          <c:yVal>
            <c:numRef>
              <c:f>Loop_Modeling!$BL$9</c:f>
              <c:numCache>
                <c:formatCode>General</c:formatCode>
                <c:ptCount val="1"/>
                <c:pt idx="0">
                  <c:v>-30.591365858203062</c:v>
                </c:pt>
              </c:numCache>
            </c:numRef>
          </c:yVal>
          <c:smooth val="1"/>
          <c:extLst>
            <c:ext xmlns:c16="http://schemas.microsoft.com/office/drawing/2014/chart" uri="{C3380CC4-5D6E-409C-BE32-E72D297353CC}">
              <c16:uniqueId val="{00000004-7B61-4283-810C-F12CE5C5D333}"/>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7B61-4283-810C-F12CE5C5D333}"/>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7B61-4283-810C-F12CE5C5D333}"/>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159154.94309189534</c:v>
                </c:pt>
              </c:numCache>
            </c:numRef>
          </c:xVal>
          <c:yVal>
            <c:numRef>
              <c:f>Loop_Modeling!$BL$10</c:f>
              <c:numCache>
                <c:formatCode>General</c:formatCode>
                <c:ptCount val="1"/>
                <c:pt idx="0">
                  <c:v>-40.740235491832536</c:v>
                </c:pt>
              </c:numCache>
            </c:numRef>
          </c:yVal>
          <c:smooth val="1"/>
          <c:extLst>
            <c:ext xmlns:c16="http://schemas.microsoft.com/office/drawing/2014/chart" uri="{C3380CC4-5D6E-409C-BE32-E72D297353CC}">
              <c16:uniqueId val="{00000006-7B61-4283-810C-F12CE5C5D333}"/>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US"/>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7B61-4283-810C-F12CE5C5D333}"/>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1035.3561221174559</c:v>
                </c:pt>
              </c:numCache>
            </c:numRef>
          </c:xVal>
          <c:yVal>
            <c:numRef>
              <c:f>Loop_Modeling!$BL$12</c:f>
              <c:numCache>
                <c:formatCode>General</c:formatCode>
                <c:ptCount val="1"/>
                <c:pt idx="0">
                  <c:v>15.94532825465053</c:v>
                </c:pt>
              </c:numCache>
            </c:numRef>
          </c:yVal>
          <c:smooth val="1"/>
          <c:extLst>
            <c:ext xmlns:c16="http://schemas.microsoft.com/office/drawing/2014/chart" uri="{C3380CC4-5D6E-409C-BE32-E72D297353CC}">
              <c16:uniqueId val="{00000008-7B61-4283-810C-F12CE5C5D333}"/>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7B61-4283-810C-F12CE5C5D333}"/>
                </c:ext>
              </c:extLst>
            </c:dLbl>
            <c:spPr>
              <a:noFill/>
              <a:ln>
                <a:noFill/>
              </a:ln>
              <a:effectLst/>
            </c:spPr>
            <c:txPr>
              <a:bodyPr/>
              <a:lstStyle/>
              <a:p>
                <a:pPr>
                  <a:defRPr b="1"/>
                </a:pPr>
                <a:endParaRPr lang="en-US"/>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19671.766320231662</c:v>
                </c:pt>
              </c:numCache>
            </c:numRef>
          </c:xVal>
          <c:yVal>
            <c:numRef>
              <c:f>Loop_Modeling!$BL$13</c:f>
              <c:numCache>
                <c:formatCode>General</c:formatCode>
                <c:ptCount val="1"/>
                <c:pt idx="0">
                  <c:v>-14.920799730116547</c:v>
                </c:pt>
              </c:numCache>
            </c:numRef>
          </c:yVal>
          <c:smooth val="1"/>
          <c:extLst>
            <c:ext xmlns:c16="http://schemas.microsoft.com/office/drawing/2014/chart" uri="{C3380CC4-5D6E-409C-BE32-E72D297353CC}">
              <c16:uniqueId val="{0000000A-7B61-4283-810C-F12CE5C5D333}"/>
            </c:ext>
          </c:extLst>
        </c:ser>
        <c:dLbls>
          <c:showLegendKey val="0"/>
          <c:showVal val="0"/>
          <c:showCatName val="0"/>
          <c:showSerName val="0"/>
          <c:showPercent val="0"/>
          <c:showBubbleSize val="0"/>
        </c:dLbls>
        <c:axId val="174189952"/>
        <c:axId val="175126016"/>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88.554004919463168</c:v>
                </c:pt>
                <c:pt idx="1">
                  <c:v>88.520360061287946</c:v>
                </c:pt>
                <c:pt idx="2">
                  <c:v>88.48593413526865</c:v>
                </c:pt>
                <c:pt idx="3">
                  <c:v>88.450709135155478</c:v>
                </c:pt>
                <c:pt idx="4">
                  <c:v>88.414666648623566</c:v>
                </c:pt>
                <c:pt idx="5">
                  <c:v>88.377787848763717</c:v>
                </c:pt>
                <c:pt idx="6">
                  <c:v>88.340053485442297</c:v>
                </c:pt>
                <c:pt idx="7">
                  <c:v>88.301443876531664</c:v>
                </c:pt>
                <c:pt idx="8">
                  <c:v>88.261938899013657</c:v>
                </c:pt>
                <c:pt idx="9">
                  <c:v>88.221517979958264</c:v>
                </c:pt>
                <c:pt idx="10">
                  <c:v>88.1801600873805</c:v>
                </c:pt>
                <c:pt idx="11">
                  <c:v>88.137843720978935</c:v>
                </c:pt>
                <c:pt idx="12">
                  <c:v>88.094546902759376</c:v>
                </c:pt>
                <c:pt idx="13">
                  <c:v>88.05024716754879</c:v>
                </c:pt>
                <c:pt idx="14">
                  <c:v>88.004921553403804</c:v>
                </c:pt>
                <c:pt idx="15">
                  <c:v>87.958546591919642</c:v>
                </c:pt>
                <c:pt idx="16">
                  <c:v>87.911098298446348</c:v>
                </c:pt>
                <c:pt idx="17">
                  <c:v>87.862552162218293</c:v>
                </c:pt>
                <c:pt idx="18">
                  <c:v>87.812883136406143</c:v>
                </c:pt>
                <c:pt idx="19">
                  <c:v>87.762065628098824</c:v>
                </c:pt>
                <c:pt idx="20">
                  <c:v>87.710073488226143</c:v>
                </c:pt>
                <c:pt idx="21">
                  <c:v>87.656880001431915</c:v>
                </c:pt>
                <c:pt idx="22">
                  <c:v>87.602457875910034</c:v>
                </c:pt>
                <c:pt idx="23">
                  <c:v>87.546779233215631</c:v>
                </c:pt>
                <c:pt idx="24">
                  <c:v>87.489815598066059</c:v>
                </c:pt>
                <c:pt idx="25">
                  <c:v>87.431537888146764</c:v>
                </c:pt>
                <c:pt idx="26">
                  <c:v>87.371916403938926</c:v>
                </c:pt>
                <c:pt idx="27">
                  <c:v>87.310920818587235</c:v>
                </c:pt>
                <c:pt idx="28">
                  <c:v>87.24852016782765</c:v>
                </c:pt>
                <c:pt idx="29">
                  <c:v>87.184682839997095</c:v>
                </c:pt>
                <c:pt idx="30">
                  <c:v>87.119376566148091</c:v>
                </c:pt>
                <c:pt idx="31">
                  <c:v>87.052568410294384</c:v>
                </c:pt>
                <c:pt idx="32">
                  <c:v>86.984224759815049</c:v>
                </c:pt>
                <c:pt idx="33">
                  <c:v>86.914311316046238</c:v>
                </c:pt>
                <c:pt idx="34">
                  <c:v>86.842793085094058</c:v>
                </c:pt>
                <c:pt idx="35">
                  <c:v>86.769634368902189</c:v>
                </c:pt>
                <c:pt idx="36">
                  <c:v>86.694798756612556</c:v>
                </c:pt>
                <c:pt idx="37">
                  <c:v>86.618249116259008</c:v>
                </c:pt>
                <c:pt idx="38">
                  <c:v>86.539947586838011</c:v>
                </c:pt>
                <c:pt idx="39">
                  <c:v>86.459855570802191</c:v>
                </c:pt>
                <c:pt idx="40">
                  <c:v>86.377933727028477</c:v>
                </c:pt>
                <c:pt idx="41">
                  <c:v>86.294141964313184</c:v>
                </c:pt>
                <c:pt idx="42">
                  <c:v>86.208439435452973</c:v>
                </c:pt>
                <c:pt idx="43">
                  <c:v>86.12078453197357</c:v>
                </c:pt>
                <c:pt idx="44">
                  <c:v>86.031134879572008</c:v>
                </c:pt>
                <c:pt idx="45">
                  <c:v>85.939447334344337</c:v>
                </c:pt>
                <c:pt idx="46">
                  <c:v>85.845677979874225</c:v>
                </c:pt>
                <c:pt idx="47">
                  <c:v>85.749782125263863</c:v>
                </c:pt>
                <c:pt idx="48">
                  <c:v>85.651714304193575</c:v>
                </c:pt>
                <c:pt idx="49">
                  <c:v>85.551428275102666</c:v>
                </c:pt>
                <c:pt idx="50">
                  <c:v>85.448877022590452</c:v>
                </c:pt>
                <c:pt idx="51">
                  <c:v>85.34401276014141</c:v>
                </c:pt>
                <c:pt idx="52">
                  <c:v>85.236786934286712</c:v>
                </c:pt>
                <c:pt idx="53">
                  <c:v>85.127150230320879</c:v>
                </c:pt>
                <c:pt idx="54">
                  <c:v>85.015052579698306</c:v>
                </c:pt>
                <c:pt idx="55">
                  <c:v>84.900443169245321</c:v>
                </c:pt>
                <c:pt idx="56">
                  <c:v>84.78327045232723</c:v>
                </c:pt>
                <c:pt idx="57">
                  <c:v>84.663482162121909</c:v>
                </c:pt>
                <c:pt idx="58">
                  <c:v>84.541025327158238</c:v>
                </c:pt>
                <c:pt idx="59">
                  <c:v>84.415846289286279</c:v>
                </c:pt>
                <c:pt idx="60">
                  <c:v>84.287890724257821</c:v>
                </c:pt>
                <c:pt idx="61">
                  <c:v>84.157103665102042</c:v>
                </c:pt>
                <c:pt idx="62">
                  <c:v>84.02342952849466</c:v>
                </c:pt>
                <c:pt idx="63">
                  <c:v>83.886812144325646</c:v>
                </c:pt>
                <c:pt idx="64">
                  <c:v>83.747194788684141</c:v>
                </c:pt>
                <c:pt idx="65">
                  <c:v>83.604520220486592</c:v>
                </c:pt>
                <c:pt idx="66">
                  <c:v>83.458730721988658</c:v>
                </c:pt>
                <c:pt idx="67">
                  <c:v>83.309768143428045</c:v>
                </c:pt>
                <c:pt idx="68">
                  <c:v>83.157573952059877</c:v>
                </c:pt>
                <c:pt idx="69">
                  <c:v>83.00208928585603</c:v>
                </c:pt>
                <c:pt idx="70">
                  <c:v>82.843255012148262</c:v>
                </c:pt>
                <c:pt idx="71">
                  <c:v>82.681011791510812</c:v>
                </c:pt>
                <c:pt idx="72">
                  <c:v>82.515300147182415</c:v>
                </c:pt>
                <c:pt idx="73">
                  <c:v>82.346060540342222</c:v>
                </c:pt>
                <c:pt idx="74">
                  <c:v>82.173233451561686</c:v>
                </c:pt>
                <c:pt idx="75">
                  <c:v>81.996759468762662</c:v>
                </c:pt>
                <c:pt idx="76">
                  <c:v>81.816579382020933</c:v>
                </c:pt>
                <c:pt idx="77">
                  <c:v>81.632634285561792</c:v>
                </c:pt>
                <c:pt idx="78">
                  <c:v>81.444865687296485</c:v>
                </c:pt>
                <c:pt idx="79">
                  <c:v>81.253215626258907</c:v>
                </c:pt>
                <c:pt idx="80">
                  <c:v>81.057626798296795</c:v>
                </c:pt>
                <c:pt idx="81">
                  <c:v>80.858042690379548</c:v>
                </c:pt>
                <c:pt idx="82">
                  <c:v>80.654407723877767</c:v>
                </c:pt>
                <c:pt idx="83">
                  <c:v>80.446667407168661</c:v>
                </c:pt>
                <c:pt idx="84">
                  <c:v>80.234768497913691</c:v>
                </c:pt>
                <c:pt idx="85">
                  <c:v>80.018659175344382</c:v>
                </c:pt>
                <c:pt idx="86">
                  <c:v>79.798289222878381</c:v>
                </c:pt>
                <c:pt idx="87">
                  <c:v>79.573610221372917</c:v>
                </c:pt>
                <c:pt idx="88">
                  <c:v>79.344575753295018</c:v>
                </c:pt>
                <c:pt idx="89">
                  <c:v>79.111141618069226</c:v>
                </c:pt>
                <c:pt idx="90">
                  <c:v>78.873266058823816</c:v>
                </c:pt>
                <c:pt idx="91">
                  <c:v>78.630910000725038</c:v>
                </c:pt>
                <c:pt idx="92">
                  <c:v>78.384037301041801</c:v>
                </c:pt>
                <c:pt idx="93">
                  <c:v>78.132615011033707</c:v>
                </c:pt>
                <c:pt idx="94">
                  <c:v>77.876613649700914</c:v>
                </c:pt>
                <c:pt idx="95">
                  <c:v>77.616007489365145</c:v>
                </c:pt>
                <c:pt idx="96">
                  <c:v>77.350774852983832</c:v>
                </c:pt>
                <c:pt idx="97">
                  <c:v>77.080898423015995</c:v>
                </c:pt>
                <c:pt idx="98">
                  <c:v>76.806365561570217</c:v>
                </c:pt>
                <c:pt idx="99">
                  <c:v>76.527168641469402</c:v>
                </c:pt>
                <c:pt idx="100">
                  <c:v>76.243305387758753</c:v>
                </c:pt>
                <c:pt idx="101">
                  <c:v>75.954779229069302</c:v>
                </c:pt>
                <c:pt idx="102">
                  <c:v>75.661599658124587</c:v>
                </c:pt>
                <c:pt idx="103">
                  <c:v>75.363782600548006</c:v>
                </c:pt>
                <c:pt idx="104">
                  <c:v>75.06135079098118</c:v>
                </c:pt>
                <c:pt idx="105">
                  <c:v>74.754334155383233</c:v>
                </c:pt>
                <c:pt idx="106">
                  <c:v>74.4427701982152</c:v>
                </c:pt>
                <c:pt idx="107">
                  <c:v>74.12670439305802</c:v>
                </c:pt>
                <c:pt idx="108">
                  <c:v>73.806190575039025</c:v>
                </c:pt>
                <c:pt idx="109">
                  <c:v>73.48129133327312</c:v>
                </c:pt>
                <c:pt idx="110">
                  <c:v>73.152078401343957</c:v>
                </c:pt>
                <c:pt idx="111">
                  <c:v>72.818633043681231</c:v>
                </c:pt>
                <c:pt idx="112">
                  <c:v>72.481046435505434</c:v>
                </c:pt>
                <c:pt idx="113">
                  <c:v>72.139420033847784</c:v>
                </c:pt>
                <c:pt idx="114">
                  <c:v>71.793865936980083</c:v>
                </c:pt>
                <c:pt idx="115">
                  <c:v>71.444507229432887</c:v>
                </c:pt>
                <c:pt idx="116">
                  <c:v>71.091478309634411</c:v>
                </c:pt>
                <c:pt idx="117">
                  <c:v>70.734925197066175</c:v>
                </c:pt>
                <c:pt idx="118">
                  <c:v>70.375005815720797</c:v>
                </c:pt>
                <c:pt idx="119">
                  <c:v>70.011890250549158</c:v>
                </c:pt>
                <c:pt idx="120">
                  <c:v>69.645760973515507</c:v>
                </c:pt>
                <c:pt idx="121">
                  <c:v>69.276813035836128</c:v>
                </c:pt>
                <c:pt idx="122">
                  <c:v>68.90525422296767</c:v>
                </c:pt>
                <c:pt idx="123">
                  <c:v>68.531305168929876</c:v>
                </c:pt>
                <c:pt idx="124">
                  <c:v>68.155199426609201</c:v>
                </c:pt>
                <c:pt idx="125">
                  <c:v>67.777183490789156</c:v>
                </c:pt>
                <c:pt idx="126">
                  <c:v>67.397516770789537</c:v>
                </c:pt>
                <c:pt idx="127">
                  <c:v>67.016471509782249</c:v>
                </c:pt>
                <c:pt idx="128">
                  <c:v>66.634332648077503</c:v>
                </c:pt>
                <c:pt idx="129">
                  <c:v>66.251397627941159</c:v>
                </c:pt>
                <c:pt idx="130">
                  <c:v>65.867976137825551</c:v>
                </c:pt>
                <c:pt idx="131">
                  <c:v>65.484389794238325</c:v>
                </c:pt>
                <c:pt idx="132">
                  <c:v>65.10097175988605</c:v>
                </c:pt>
                <c:pt idx="133">
                  <c:v>64.71806629714456</c:v>
                </c:pt>
                <c:pt idx="134">
                  <c:v>64.336028256387124</c:v>
                </c:pt>
                <c:pt idx="135">
                  <c:v>63.955222499179143</c:v>
                </c:pt>
                <c:pt idx="136">
                  <c:v>63.576023256877171</c:v>
                </c:pt>
                <c:pt idx="137">
                  <c:v>63.198813425684854</c:v>
                </c:pt>
                <c:pt idx="138">
                  <c:v>62.823983799768996</c:v>
                </c:pt>
                <c:pt idx="139">
                  <c:v>62.451932244566322</c:v>
                </c:pt>
                <c:pt idx="140">
                  <c:v>62.083062812952754</c:v>
                </c:pt>
                <c:pt idx="141">
                  <c:v>61.717784807458976</c:v>
                </c:pt>
                <c:pt idx="142">
                  <c:v>61.35651179220833</c:v>
                </c:pt>
                <c:pt idx="143">
                  <c:v>60.999660558721359</c:v>
                </c:pt>
                <c:pt idx="144">
                  <c:v>60.64765005015267</c:v>
                </c:pt>
                <c:pt idx="145">
                  <c:v>60.300900248902636</c:v>
                </c:pt>
                <c:pt idx="146">
                  <c:v>59.959831032883272</c:v>
                </c:pt>
                <c:pt idx="147">
                  <c:v>59.624861005985373</c:v>
                </c:pt>
                <c:pt idx="148">
                  <c:v>59.296406308505716</c:v>
                </c:pt>
                <c:pt idx="149">
                  <c:v>58.974879413450239</c:v>
                </c:pt>
                <c:pt idx="150">
                  <c:v>58.660687914710195</c:v>
                </c:pt>
                <c:pt idx="151">
                  <c:v>58.354233313137968</c:v>
                </c:pt>
                <c:pt idx="152">
                  <c:v>58.055909806502086</c:v>
                </c:pt>
                <c:pt idx="153">
                  <c:v>57.766103089208343</c:v>
                </c:pt>
                <c:pt idx="154">
                  <c:v>57.485189167517547</c:v>
                </c:pt>
                <c:pt idx="155">
                  <c:v>57.213533195782347</c:v>
                </c:pt>
                <c:pt idx="156">
                  <c:v>56.951488338968559</c:v>
                </c:pt>
                <c:pt idx="157">
                  <c:v>56.699394666453159</c:v>
                </c:pt>
                <c:pt idx="158">
                  <c:v>56.457578081738703</c:v>
                </c:pt>
                <c:pt idx="159">
                  <c:v>56.226349292411548</c:v>
                </c:pt>
                <c:pt idx="160">
                  <c:v>56.006002824281261</c:v>
                </c:pt>
                <c:pt idx="161">
                  <c:v>55.796816083278159</c:v>
                </c:pt>
                <c:pt idx="162">
                  <c:v>55.599048468315559</c:v>
                </c:pt>
                <c:pt idx="163">
                  <c:v>55.412940537945204</c:v>
                </c:pt>
                <c:pt idx="164">
                  <c:v>55.238713233290511</c:v>
                </c:pt>
                <c:pt idx="165">
                  <c:v>55.07656715939423</c:v>
                </c:pt>
                <c:pt idx="166">
                  <c:v>54.926681926802914</c:v>
                </c:pt>
                <c:pt idx="167">
                  <c:v>54.789215554922862</c:v>
                </c:pt>
                <c:pt idx="168">
                  <c:v>54.664303938408949</c:v>
                </c:pt>
                <c:pt idx="169">
                  <c:v>54.552060377619782</c:v>
                </c:pt>
                <c:pt idx="170">
                  <c:v>54.452575173963936</c:v>
                </c:pt>
                <c:pt idx="171">
                  <c:v>54.365915290777259</c:v>
                </c:pt>
                <c:pt idx="172">
                  <c:v>54.292124080227786</c:v>
                </c:pt>
                <c:pt idx="173">
                  <c:v>54.231221076606666</c:v>
                </c:pt>
                <c:pt idx="174">
                  <c:v>54.183201856254485</c:v>
                </c:pt>
                <c:pt idx="175">
                  <c:v>54.148037964281798</c:v>
                </c:pt>
                <c:pt idx="176">
                  <c:v>54.125676908147355</c:v>
                </c:pt>
                <c:pt idx="177">
                  <c:v>54.116042218087252</c:v>
                </c:pt>
                <c:pt idx="178">
                  <c:v>54.119033574294079</c:v>
                </c:pt>
                <c:pt idx="179">
                  <c:v>54.134527000674304</c:v>
                </c:pt>
                <c:pt idx="180">
                  <c:v>54.162375124895796</c:v>
                </c:pt>
                <c:pt idx="181">
                  <c:v>54.202407504335639</c:v>
                </c:pt>
                <c:pt idx="182">
                  <c:v>54.254431017400371</c:v>
                </c:pt>
                <c:pt idx="183">
                  <c:v>54.318230319530265</c:v>
                </c:pt>
                <c:pt idx="184">
                  <c:v>54.3935683630177</c:v>
                </c:pt>
                <c:pt idx="185">
                  <c:v>54.480186979556152</c:v>
                </c:pt>
                <c:pt idx="186">
                  <c:v>54.577807524197247</c:v>
                </c:pt>
                <c:pt idx="187">
                  <c:v>54.686131579116115</c:v>
                </c:pt>
                <c:pt idx="188">
                  <c:v>54.804841715297478</c:v>
                </c:pt>
                <c:pt idx="189">
                  <c:v>54.933602309928396</c:v>
                </c:pt>
                <c:pt idx="190">
                  <c:v>55.072060416939976</c:v>
                </c:pt>
                <c:pt idx="191">
                  <c:v>55.219846687786429</c:v>
                </c:pt>
                <c:pt idx="192">
                  <c:v>55.376576339177205</c:v>
                </c:pt>
                <c:pt idx="193">
                  <c:v>55.54185016410463</c:v>
                </c:pt>
                <c:pt idx="194">
                  <c:v>55.715255582144998</c:v>
                </c:pt>
                <c:pt idx="195">
                  <c:v>55.896367724642126</c:v>
                </c:pt>
                <c:pt idx="196">
                  <c:v>56.084750550048447</c:v>
                </c:pt>
                <c:pt idx="197">
                  <c:v>56.279957984378271</c:v>
                </c:pt>
                <c:pt idx="198">
                  <c:v>56.481535081445863</c:v>
                </c:pt>
                <c:pt idx="199">
                  <c:v>56.689019197319915</c:v>
                </c:pt>
                <c:pt idx="200">
                  <c:v>56.901941173226646</c:v>
                </c:pt>
                <c:pt idx="201">
                  <c:v>57.119826520992945</c:v>
                </c:pt>
                <c:pt idx="202">
                  <c:v>57.342196605034744</c:v>
                </c:pt>
                <c:pt idx="203">
                  <c:v>57.568569814867416</c:v>
                </c:pt>
                <c:pt idx="204">
                  <c:v>57.79846272215805</c:v>
                </c:pt>
                <c:pt idx="205">
                  <c:v>58.031391216428673</c:v>
                </c:pt>
                <c:pt idx="206">
                  <c:v>58.266871613703366</c:v>
                </c:pt>
                <c:pt idx="207">
                  <c:v>58.504421732598686</c:v>
                </c:pt>
                <c:pt idx="208">
                  <c:v>58.743561932659269</c:v>
                </c:pt>
                <c:pt idx="209">
                  <c:v>58.98381611007224</c:v>
                </c:pt>
                <c:pt idx="210">
                  <c:v>59.22471264628858</c:v>
                </c:pt>
                <c:pt idx="211">
                  <c:v>59.465785305514771</c:v>
                </c:pt>
                <c:pt idx="212">
                  <c:v>59.706574077507561</c:v>
                </c:pt>
                <c:pt idx="213">
                  <c:v>59.946625962608259</c:v>
                </c:pt>
                <c:pt idx="214">
                  <c:v>60.18549569647498</c:v>
                </c:pt>
                <c:pt idx="215">
                  <c:v>60.422746412502725</c:v>
                </c:pt>
                <c:pt idx="216">
                  <c:v>60.657950240472815</c:v>
                </c:pt>
                <c:pt idx="217">
                  <c:v>60.890688840500211</c:v>
                </c:pt>
                <c:pt idx="218">
                  <c:v>61.12055387188969</c:v>
                </c:pt>
                <c:pt idx="219">
                  <c:v>61.347147397010069</c:v>
                </c:pt>
                <c:pt idx="220">
                  <c:v>61.570082220802128</c:v>
                </c:pt>
                <c:pt idx="221">
                  <c:v>61.788982166983146</c:v>
                </c:pt>
                <c:pt idx="222">
                  <c:v>62.003482292446002</c:v>
                </c:pt>
                <c:pt idx="223">
                  <c:v>62.213229041745258</c:v>
                </c:pt>
                <c:pt idx="224">
                  <c:v>62.41788034390256</c:v>
                </c:pt>
                <c:pt idx="225">
                  <c:v>62.617105654087446</c:v>
                </c:pt>
                <c:pt idx="226">
                  <c:v>62.810585942983252</c:v>
                </c:pt>
                <c:pt idx="227">
                  <c:v>62.998013636877531</c:v>
                </c:pt>
                <c:pt idx="228">
                  <c:v>63.179092511689774</c:v>
                </c:pt>
                <c:pt idx="229">
                  <c:v>63.353537544295008</c:v>
                </c:pt>
                <c:pt idx="230">
                  <c:v>63.521074724583563</c:v>
                </c:pt>
                <c:pt idx="231">
                  <c:v>63.68144083176972</c:v>
                </c:pt>
                <c:pt idx="232">
                  <c:v>63.834383178471704</c:v>
                </c:pt>
                <c:pt idx="233">
                  <c:v>63.979659326083684</c:v>
                </c:pt>
                <c:pt idx="234">
                  <c:v>64.117036774910048</c:v>
                </c:pt>
                <c:pt idx="235">
                  <c:v>64.246292632471821</c:v>
                </c:pt>
                <c:pt idx="236">
                  <c:v>64.367213263298581</c:v>
                </c:pt>
                <c:pt idx="237">
                  <c:v>64.479593923412352</c:v>
                </c:pt>
                <c:pt idx="238">
                  <c:v>64.583238382578315</c:v>
                </c:pt>
                <c:pt idx="239">
                  <c:v>64.677958537260949</c:v>
                </c:pt>
                <c:pt idx="240">
                  <c:v>64.76357401706673</c:v>
                </c:pt>
                <c:pt idx="241">
                  <c:v>64.839911787303734</c:v>
                </c:pt>
                <c:pt idx="242">
                  <c:v>64.9068057501174</c:v>
                </c:pt>
                <c:pt idx="243">
                  <c:v>64.964096346501577</c:v>
                </c:pt>
                <c:pt idx="244">
                  <c:v>65.011630161315708</c:v>
                </c:pt>
                <c:pt idx="245">
                  <c:v>65.049259533273911</c:v>
                </c:pt>
                <c:pt idx="246">
                  <c:v>65.076842171713949</c:v>
                </c:pt>
                <c:pt idx="247">
                  <c:v>65.09424078179417</c:v>
                </c:pt>
                <c:pt idx="248">
                  <c:v>65.101322699620439</c:v>
                </c:pt>
                <c:pt idx="249">
                  <c:v>65.097959538659666</c:v>
                </c:pt>
                <c:pt idx="250">
                  <c:v>65.084026848658894</c:v>
                </c:pt>
                <c:pt idx="251">
                  <c:v>65.059403788170073</c:v>
                </c:pt>
                <c:pt idx="252">
                  <c:v>65.023972811648363</c:v>
                </c:pt>
                <c:pt idx="253">
                  <c:v>64.977619371998415</c:v>
                </c:pt>
                <c:pt idx="254">
                  <c:v>64.920231639324555</c:v>
                </c:pt>
                <c:pt idx="255">
                  <c:v>64.851700236561527</c:v>
                </c:pt>
                <c:pt idx="256">
                  <c:v>64.771917992573862</c:v>
                </c:pt>
                <c:pt idx="257">
                  <c:v>64.680779713232354</c:v>
                </c:pt>
                <c:pt idx="258">
                  <c:v>64.578181970911274</c:v>
                </c:pt>
                <c:pt idx="259">
                  <c:v>64.464022912791691</c:v>
                </c:pt>
                <c:pt idx="260">
                  <c:v>64.338202088293571</c:v>
                </c:pt>
                <c:pt idx="261">
                  <c:v>64.200620295920231</c:v>
                </c:pt>
                <c:pt idx="262">
                  <c:v>64.051179449746172</c:v>
                </c:pt>
                <c:pt idx="263">
                  <c:v>63.88978246575325</c:v>
                </c:pt>
                <c:pt idx="264">
                  <c:v>63.716333168170259</c:v>
                </c:pt>
                <c:pt idx="265">
                  <c:v>63.530736215956509</c:v>
                </c:pt>
                <c:pt idx="266">
                  <c:v>63.33289704952869</c:v>
                </c:pt>
                <c:pt idx="267">
                  <c:v>63.122721857811271</c:v>
                </c:pt>
                <c:pt idx="268">
                  <c:v>62.90011756566232</c:v>
                </c:pt>
                <c:pt idx="269">
                  <c:v>62.664991841702104</c:v>
                </c:pt>
                <c:pt idx="270">
                  <c:v>62.417253126544765</c:v>
                </c:pt>
                <c:pt idx="271">
                  <c:v>62.156810681409674</c:v>
                </c:pt>
                <c:pt idx="272">
                  <c:v>61.883574657055455</c:v>
                </c:pt>
                <c:pt idx="273">
                  <c:v>61.597456182952222</c:v>
                </c:pt>
                <c:pt idx="274">
                  <c:v>61.298367476570135</c:v>
                </c:pt>
                <c:pt idx="275">
                  <c:v>60.98622197262074</c:v>
                </c:pt>
                <c:pt idx="276">
                  <c:v>60.660934472049398</c:v>
                </c:pt>
                <c:pt idx="277">
                  <c:v>60.322421310520831</c:v>
                </c:pt>
                <c:pt idx="278">
                  <c:v>59.970600546088001</c:v>
                </c:pt>
                <c:pt idx="279">
                  <c:v>59.605392165669983</c:v>
                </c:pt>
                <c:pt idx="280">
                  <c:v>59.226718309896597</c:v>
                </c:pt>
                <c:pt idx="281">
                  <c:v>58.834503515798531</c:v>
                </c:pt>
                <c:pt idx="282">
                  <c:v>58.428674976739984</c:v>
                </c:pt>
                <c:pt idx="283">
                  <c:v>58.009162818894325</c:v>
                </c:pt>
                <c:pt idx="284">
                  <c:v>57.575900393467073</c:v>
                </c:pt>
                <c:pt idx="285">
                  <c:v>57.128824583756455</c:v>
                </c:pt>
                <c:pt idx="286">
                  <c:v>56.667876126032283</c:v>
                </c:pt>
                <c:pt idx="287">
                  <c:v>56.192999943082789</c:v>
                </c:pt>
                <c:pt idx="288">
                  <c:v>55.704145489154648</c:v>
                </c:pt>
                <c:pt idx="289">
                  <c:v>55.201267104870837</c:v>
                </c:pt>
                <c:pt idx="290">
                  <c:v>54.68432438057156</c:v>
                </c:pt>
                <c:pt idx="291">
                  <c:v>54.153282526378156</c:v>
                </c:pt>
                <c:pt idx="292">
                  <c:v>53.608112747128523</c:v>
                </c:pt>
                <c:pt idx="293">
                  <c:v>53.048792620188571</c:v>
                </c:pt>
                <c:pt idx="294">
                  <c:v>52.475306473994543</c:v>
                </c:pt>
                <c:pt idx="295">
                  <c:v>51.887645765036019</c:v>
                </c:pt>
                <c:pt idx="296">
                  <c:v>51.285809450852973</c:v>
                </c:pt>
                <c:pt idx="297">
                  <c:v>50.669804356487028</c:v>
                </c:pt>
                <c:pt idx="298">
                  <c:v>50.039645531714527</c:v>
                </c:pt>
                <c:pt idx="299">
                  <c:v>49.395356596277338</c:v>
                </c:pt>
                <c:pt idx="300">
                  <c:v>48.736970070244467</c:v>
                </c:pt>
                <c:pt idx="301">
                  <c:v>48.064527686572546</c:v>
                </c:pt>
                <c:pt idx="302">
                  <c:v>47.37808068288534</c:v>
                </c:pt>
                <c:pt idx="303">
                  <c:v>46.677690069482665</c:v>
                </c:pt>
                <c:pt idx="304">
                  <c:v>45.963426870605005</c:v>
                </c:pt>
                <c:pt idx="305">
                  <c:v>45.235372336020262</c:v>
                </c:pt>
                <c:pt idx="306">
                  <c:v>44.493618120095363</c:v>
                </c:pt>
                <c:pt idx="307">
                  <c:v>43.738266425629874</c:v>
                </c:pt>
                <c:pt idx="308">
                  <c:v>42.969430109894525</c:v>
                </c:pt>
                <c:pt idx="309">
                  <c:v>42.187232750525425</c:v>
                </c:pt>
                <c:pt idx="310">
                  <c:v>41.391808669166608</c:v>
                </c:pt>
                <c:pt idx="311">
                  <c:v>40.583302911045131</c:v>
                </c:pt>
                <c:pt idx="312">
                  <c:v>39.761871178999137</c:v>
                </c:pt>
                <c:pt idx="313">
                  <c:v>38.92767972083638</c:v>
                </c:pt>
                <c:pt idx="314">
                  <c:v>38.080905169326158</c:v>
                </c:pt>
                <c:pt idx="315">
                  <c:v>37.22173433455356</c:v>
                </c:pt>
                <c:pt idx="316">
                  <c:v>36.350363948844389</c:v>
                </c:pt>
                <c:pt idx="317">
                  <c:v>35.46700036495929</c:v>
                </c:pt>
                <c:pt idx="318">
                  <c:v>34.571859208773056</c:v>
                </c:pt>
                <c:pt idx="319">
                  <c:v>33.665164988170524</c:v>
                </c:pt>
                <c:pt idx="320">
                  <c:v>32.747150660421276</c:v>
                </c:pt>
                <c:pt idx="321">
                  <c:v>31.818057160815997</c:v>
                </c:pt>
                <c:pt idx="322">
                  <c:v>30.878132895852097</c:v>
                </c:pt>
                <c:pt idx="323">
                  <c:v>29.927633204742076</c:v>
                </c:pt>
                <c:pt idx="324">
                  <c:v>28.966819793468495</c:v>
                </c:pt>
                <c:pt idx="325">
                  <c:v>27.995960146026462</c:v>
                </c:pt>
                <c:pt idx="326">
                  <c:v>27.01532691785739</c:v>
                </c:pt>
                <c:pt idx="327">
                  <c:v>26.025197316781114</c:v>
                </c:pt>
                <c:pt idx="328">
                  <c:v>25.025852476989865</c:v>
                </c:pt>
                <c:pt idx="329">
                  <c:v>24.017576831828315</c:v>
                </c:pt>
                <c:pt idx="330">
                  <c:v>23.000657491211481</c:v>
                </c:pt>
                <c:pt idx="331">
                  <c:v>21.975383629524735</c:v>
                </c:pt>
                <c:pt idx="332">
                  <c:v>20.942045889831466</c:v>
                </c:pt>
                <c:pt idx="333">
                  <c:v>19.900935810051518</c:v>
                </c:pt>
                <c:pt idx="334">
                  <c:v>18.852345276580387</c:v>
                </c:pt>
                <c:pt idx="335">
                  <c:v>17.796566010512397</c:v>
                </c:pt>
                <c:pt idx="336">
                  <c:v>16.733889091284588</c:v>
                </c:pt>
                <c:pt idx="337">
                  <c:v>15.664604522099735</c:v>
                </c:pt>
                <c:pt idx="338">
                  <c:v>14.589000841014133</c:v>
                </c:pt>
                <c:pt idx="339">
                  <c:v>13.507364781011045</c:v>
                </c:pt>
                <c:pt idx="340">
                  <c:v>12.419980981773737</c:v>
                </c:pt>
                <c:pt idx="341">
                  <c:v>11.327131755246091</c:v>
                </c:pt>
                <c:pt idx="342">
                  <c:v>10.229096906384449</c:v>
                </c:pt>
                <c:pt idx="343">
                  <c:v>9.1261536098265168</c:v>
                </c:pt>
                <c:pt idx="344">
                  <c:v>8.0185763424838239</c:v>
                </c:pt>
                <c:pt idx="345">
                  <c:v>6.9066368713812434</c:v>
                </c:pt>
                <c:pt idx="346">
                  <c:v>5.7906042953547914</c:v>
                </c:pt>
                <c:pt idx="347">
                  <c:v>4.6707451385624292</c:v>
                </c:pt>
                <c:pt idx="348">
                  <c:v>3.5473234930890287</c:v>
                </c:pt>
                <c:pt idx="349">
                  <c:v>2.4206012073362029</c:v>
                </c:pt>
                <c:pt idx="350">
                  <c:v>1.2908381163013469</c:v>
                </c:pt>
                <c:pt idx="351">
                  <c:v>0.15829230933411692</c:v>
                </c:pt>
                <c:pt idx="352">
                  <c:v>-0.97677956950521705</c:v>
                </c:pt>
                <c:pt idx="353">
                  <c:v>-2.1141219937722004</c:v>
                </c:pt>
                <c:pt idx="354">
                  <c:v>-3.2534802052709919</c:v>
                </c:pt>
                <c:pt idx="355">
                  <c:v>-4.3945998488746865</c:v>
                </c:pt>
                <c:pt idx="356">
                  <c:v>-5.5372265976339143</c:v>
                </c:pt>
                <c:pt idx="357">
                  <c:v>-6.6811057743736146</c:v>
                </c:pt>
                <c:pt idx="358">
                  <c:v>-7.8259819760370499</c:v>
                </c:pt>
                <c:pt idx="359">
                  <c:v>-8.9715987070132392</c:v>
                </c:pt>
                <c:pt idx="360">
                  <c:v>-10.117698027559294</c:v>
                </c:pt>
                <c:pt idx="361">
                  <c:v>-11.264020223281689</c:v>
                </c:pt>
                <c:pt idx="362">
                  <c:v>-12.410303501366382</c:v>
                </c:pt>
                <c:pt idx="363">
                  <c:v>-13.556283718946373</c:v>
                </c:pt>
                <c:pt idx="364">
                  <c:v>-14.701694148612157</c:v>
                </c:pt>
                <c:pt idx="365">
                  <c:v>-15.846265285621119</c:v>
                </c:pt>
                <c:pt idx="366">
                  <c:v>-16.989724700886892</c:v>
                </c:pt>
                <c:pt idx="367">
                  <c:v>-18.131796943265819</c:v>
                </c:pt>
                <c:pt idx="368">
                  <c:v>-19.272203494093507</c:v>
                </c:pt>
                <c:pt idx="369">
                  <c:v>-20.410662776297187</c:v>
                </c:pt>
                <c:pt idx="370">
                  <c:v>-21.546890219777069</c:v>
                </c:pt>
                <c:pt idx="371">
                  <c:v>-22.680598384088203</c:v>
                </c:pt>
                <c:pt idx="372">
                  <c:v>-23.811497138797609</c:v>
                </c:pt>
                <c:pt idx="373">
                  <c:v>-24.939293901217361</c:v>
                </c:pt>
                <c:pt idx="374">
                  <c:v>-26.063693930581422</c:v>
                </c:pt>
                <c:pt idx="375">
                  <c:v>-27.184400677089112</c:v>
                </c:pt>
                <c:pt idx="376">
                  <c:v>-28.301116183649725</c:v>
                </c:pt>
                <c:pt idx="377">
                  <c:v>-29.413541537584301</c:v>
                </c:pt>
                <c:pt idx="378">
                  <c:v>-30.521377369044306</c:v>
                </c:pt>
                <c:pt idx="379">
                  <c:v>-31.624324392423308</c:v>
                </c:pt>
                <c:pt idx="380">
                  <c:v>-32.722083986632448</c:v>
                </c:pt>
                <c:pt idx="381">
                  <c:v>-33.814358809780281</c:v>
                </c:pt>
                <c:pt idx="382">
                  <c:v>-34.900853443496544</c:v>
                </c:pt>
                <c:pt idx="383">
                  <c:v>-35.981275061946988</c:v>
                </c:pt>
                <c:pt idx="384">
                  <c:v>-37.055334120432818</c:v>
                </c:pt>
                <c:pt idx="385">
                  <c:v>-38.122745058398714</c:v>
                </c:pt>
                <c:pt idx="386">
                  <c:v>-39.18322701166862</c:v>
                </c:pt>
                <c:pt idx="387">
                  <c:v>-40.236504528777139</c:v>
                </c:pt>
                <c:pt idx="388">
                  <c:v>-41.2823082863788</c:v>
                </c:pt>
                <c:pt idx="389">
                  <c:v>-42.320375798895206</c:v>
                </c:pt>
                <c:pt idx="390">
                  <c:v>-43.350452117749846</c:v>
                </c:pt>
                <c:pt idx="391">
                  <c:v>-44.372290515818463</c:v>
                </c:pt>
                <c:pt idx="392">
                  <c:v>-45.385653152987388</c:v>
                </c:pt>
                <c:pt idx="393">
                  <c:v>-46.390311719030443</c:v>
                </c:pt>
                <c:pt idx="394">
                  <c:v>-47.386048050337948</c:v>
                </c:pt>
                <c:pt idx="395">
                  <c:v>-48.37265471736503</c:v>
                </c:pt>
                <c:pt idx="396">
                  <c:v>-49.349935580009316</c:v>
                </c:pt>
                <c:pt idx="397">
                  <c:v>-50.317706308451491</c:v>
                </c:pt>
                <c:pt idx="398">
                  <c:v>-51.275794867332813</c:v>
                </c:pt>
                <c:pt idx="399">
                  <c:v>-52.224041961439561</c:v>
                </c:pt>
                <c:pt idx="400">
                  <c:v>-53.162301441372861</c:v>
                </c:pt>
                <c:pt idx="401">
                  <c:v>-54.090440667946929</c:v>
                </c:pt>
                <c:pt idx="402">
                  <c:v>-55.008340834330809</c:v>
                </c:pt>
                <c:pt idx="403">
                  <c:v>-55.915897245163833</c:v>
                </c:pt>
                <c:pt idx="404">
                  <c:v>-56.813019552108472</c:v>
                </c:pt>
                <c:pt idx="405">
                  <c:v>-57.699631945491966</c:v>
                </c:pt>
                <c:pt idx="406">
                  <c:v>-58.575673301871326</c:v>
                </c:pt>
                <c:pt idx="407">
                  <c:v>-59.441097287526304</c:v>
                </c:pt>
                <c:pt idx="408">
                  <c:v>-60.295872418038179</c:v>
                </c:pt>
                <c:pt idx="409">
                  <c:v>-61.139982074262953</c:v>
                </c:pt>
                <c:pt idx="410">
                  <c:v>-61.973424475156946</c:v>
                </c:pt>
                <c:pt idx="411">
                  <c:v>-62.796212608050936</c:v>
                </c:pt>
                <c:pt idx="412">
                  <c:v>-63.608374117117812</c:v>
                </c:pt>
                <c:pt idx="413">
                  <c:v>-64.409951150925423</c:v>
                </c:pt>
                <c:pt idx="414">
                  <c:v>-65.201000170118419</c:v>
                </c:pt>
                <c:pt idx="415">
                  <c:v>-65.981591716433883</c:v>
                </c:pt>
                <c:pt idx="416">
                  <c:v>-66.751810144411749</c:v>
                </c:pt>
                <c:pt idx="417">
                  <c:v>-67.51175331733333</c:v>
                </c:pt>
                <c:pt idx="418">
                  <c:v>-68.261532269085322</c:v>
                </c:pt>
                <c:pt idx="419">
                  <c:v>-69.001270833821863</c:v>
                </c:pt>
                <c:pt idx="420">
                  <c:v>-69.731105245457172</c:v>
                </c:pt>
                <c:pt idx="421">
                  <c:v>-70.451183709188754</c:v>
                </c:pt>
                <c:pt idx="422">
                  <c:v>-71.161665947397466</c:v>
                </c:pt>
                <c:pt idx="423">
                  <c:v>-71.862722722416379</c:v>
                </c:pt>
                <c:pt idx="424">
                  <c:v>-72.554535338779516</c:v>
                </c:pt>
                <c:pt idx="425">
                  <c:v>-73.237295127667394</c:v>
                </c:pt>
                <c:pt idx="426">
                  <c:v>-73.911202916349879</c:v>
                </c:pt>
                <c:pt idx="427">
                  <c:v>-74.576468485472802</c:v>
                </c:pt>
                <c:pt idx="428">
                  <c:v>-75.233310017082104</c:v>
                </c:pt>
                <c:pt idx="429">
                  <c:v>-75.881953536263396</c:v>
                </c:pt>
                <c:pt idx="430">
                  <c:v>-76.522632349247814</c:v>
                </c:pt>
                <c:pt idx="431">
                  <c:v>-77.15558648078499</c:v>
                </c:pt>
                <c:pt idx="432">
                  <c:v>-77.781062113485362</c:v>
                </c:pt>
                <c:pt idx="433">
                  <c:v>-78.399311031721922</c:v>
                </c:pt>
                <c:pt idx="434">
                  <c:v>-79.010590072538818</c:v>
                </c:pt>
                <c:pt idx="435">
                  <c:v>-79.615160585846937</c:v>
                </c:pt>
                <c:pt idx="436">
                  <c:v>-80.213287906001938</c:v>
                </c:pt>
                <c:pt idx="437">
                  <c:v>-80.805240836646831</c:v>
                </c:pt>
                <c:pt idx="438">
                  <c:v>-81.391291150497594</c:v>
                </c:pt>
                <c:pt idx="439">
                  <c:v>-81.971713105499006</c:v>
                </c:pt>
                <c:pt idx="440">
                  <c:v>-82.546782978563186</c:v>
                </c:pt>
                <c:pt idx="441">
                  <c:v>-83.116778617841092</c:v>
                </c:pt>
                <c:pt idx="442">
                  <c:v>-83.681979014256868</c:v>
                </c:pt>
                <c:pt idx="443">
                  <c:v>-84.242663892777713</c:v>
                </c:pt>
                <c:pt idx="444">
                  <c:v>-84.799113323679109</c:v>
                </c:pt>
                <c:pt idx="445">
                  <c:v>-85.351607353829138</c:v>
                </c:pt>
                <c:pt idx="446">
                  <c:v>-85.900425657812562</c:v>
                </c:pt>
                <c:pt idx="447">
                  <c:v>-86.445847208514294</c:v>
                </c:pt>
                <c:pt idx="448">
                  <c:v>-86.98814996660164</c:v>
                </c:pt>
                <c:pt idx="449">
                  <c:v>-87.527610588175094</c:v>
                </c:pt>
                <c:pt idx="450">
                  <c:v>-88.064504149710714</c:v>
                </c:pt>
                <c:pt idx="451">
                  <c:v>-88.599103889283299</c:v>
                </c:pt>
                <c:pt idx="452">
                  <c:v>-89.131680962944614</c:v>
                </c:pt>
                <c:pt idx="453">
                  <c:v>-89.662504215036748</c:v>
                </c:pt>
                <c:pt idx="454">
                  <c:v>-90.19183996113658</c:v>
                </c:pt>
                <c:pt idx="455">
                  <c:v>-90.719951782270158</c:v>
                </c:pt>
                <c:pt idx="456">
                  <c:v>-91.247100328982185</c:v>
                </c:pt>
                <c:pt idx="457">
                  <c:v>-91.773543133823154</c:v>
                </c:pt>
                <c:pt idx="458">
                  <c:v>-92.299534430791738</c:v>
                </c:pt>
                <c:pt idx="459">
                  <c:v>-92.825324980272555</c:v>
                </c:pt>
                <c:pt idx="460">
                  <c:v>-93.35116189801586</c:v>
                </c:pt>
                <c:pt idx="461">
                  <c:v>-93.877288486729654</c:v>
                </c:pt>
                <c:pt idx="462">
                  <c:v>-94.403944068885195</c:v>
                </c:pt>
                <c:pt idx="463">
                  <c:v>-94.931363819380806</c:v>
                </c:pt>
                <c:pt idx="464">
                  <c:v>-95.459778596760145</c:v>
                </c:pt>
                <c:pt idx="465">
                  <c:v>-95.989414771740513</c:v>
                </c:pt>
                <c:pt idx="466">
                  <c:v>-96.520494051880945</c:v>
                </c:pt>
                <c:pt idx="467">
                  <c:v>-97.053233301288557</c:v>
                </c:pt>
                <c:pt idx="468">
                  <c:v>-97.587844354351873</c:v>
                </c:pt>
                <c:pt idx="469">
                  <c:v>-98.124533822578812</c:v>
                </c:pt>
                <c:pt idx="470">
                  <c:v>-98.663502893713186</c:v>
                </c:pt>
                <c:pt idx="471">
                  <c:v>-99.204947122411454</c:v>
                </c:pt>
                <c:pt idx="472">
                  <c:v>-99.749056211866389</c:v>
                </c:pt>
                <c:pt idx="473">
                  <c:v>-100.29601378589072</c:v>
                </c:pt>
                <c:pt idx="474">
                  <c:v>-100.84599715108864</c:v>
                </c:pt>
                <c:pt idx="475">
                  <c:v>-101.39917704887905</c:v>
                </c:pt>
                <c:pt idx="476">
                  <c:v>-101.95571739727065</c:v>
                </c:pt>
                <c:pt idx="477">
                  <c:v>-102.51577502243032</c:v>
                </c:pt>
                <c:pt idx="478">
                  <c:v>-103.07949938023913</c:v>
                </c:pt>
                <c:pt idx="479">
                  <c:v>-103.64703226818503</c:v>
                </c:pt>
                <c:pt idx="480">
                  <c:v>-104.2185075281032</c:v>
                </c:pt>
                <c:pt idx="481">
                  <c:v>-104.79405074044423</c:v>
                </c:pt>
                <c:pt idx="482">
                  <c:v>-105.37377891092503</c:v>
                </c:pt>
                <c:pt idx="483">
                  <c:v>-105.95780015058973</c:v>
                </c:pt>
                <c:pt idx="484">
                  <c:v>-106.54621335049998</c:v>
                </c:pt>
                <c:pt idx="485">
                  <c:v>-107.13910785244657</c:v>
                </c:pt>
                <c:pt idx="486">
                  <c:v>-107.73656311727021</c:v>
                </c:pt>
                <c:pt idx="487">
                  <c:v>-108.33864839256418</c:v>
                </c:pt>
                <c:pt idx="488">
                  <c:v>-108.94542238170908</c:v>
                </c:pt>
                <c:pt idx="489">
                  <c:v>-109.55693291638435</c:v>
                </c:pt>
                <c:pt idx="490">
                  <c:v>-110.17321663486617</c:v>
                </c:pt>
                <c:pt idx="491">
                  <c:v>-110.79429866859306</c:v>
                </c:pt>
                <c:pt idx="492">
                  <c:v>-111.42019233964191</c:v>
                </c:pt>
                <c:pt idx="493">
                  <c:v>-112.05089887189426</c:v>
                </c:pt>
                <c:pt idx="494">
                  <c:v>-112.68640711880344</c:v>
                </c:pt>
                <c:pt idx="495">
                  <c:v>-113.32669331078338</c:v>
                </c:pt>
                <c:pt idx="496">
                  <c:v>-113.9717208253188</c:v>
                </c:pt>
                <c:pt idx="497">
                  <c:v>-114.62143998296128</c:v>
                </c:pt>
                <c:pt idx="498">
                  <c:v>-115.27578787240293</c:v>
                </c:pt>
                <c:pt idx="499">
                  <c:v>-115.93468820781419</c:v>
                </c:pt>
                <c:pt idx="500">
                  <c:v>-116.59805122159986</c:v>
                </c:pt>
                <c:pt idx="501">
                  <c:v>-117.26577359564709</c:v>
                </c:pt>
                <c:pt idx="502">
                  <c:v>-117.93773843402323</c:v>
                </c:pt>
                <c:pt idx="503">
                  <c:v>-118.61381527992651</c:v>
                </c:pt>
                <c:pt idx="504">
                  <c:v>-119.29386017948831</c:v>
                </c:pt>
                <c:pt idx="505">
                  <c:v>-119.97771579478287</c:v>
                </c:pt>
                <c:pt idx="506">
                  <c:v>-120.66521156810879</c:v>
                </c:pt>
                <c:pt idx="507">
                  <c:v>-121.35616393928126</c:v>
                </c:pt>
                <c:pt idx="508">
                  <c:v>-122.05037661729619</c:v>
                </c:pt>
                <c:pt idx="509">
                  <c:v>-122.74764090731883</c:v>
                </c:pt>
                <c:pt idx="510">
                  <c:v>-123.44773609350791</c:v>
                </c:pt>
                <c:pt idx="511">
                  <c:v>-124.15042987770506</c:v>
                </c:pt>
                <c:pt idx="512">
                  <c:v>-124.85547887352708</c:v>
                </c:pt>
                <c:pt idx="513">
                  <c:v>-125.562629154874</c:v>
                </c:pt>
                <c:pt idx="514">
                  <c:v>-126.27161685733618</c:v>
                </c:pt>
                <c:pt idx="515">
                  <c:v>-126.98216883045782</c:v>
                </c:pt>
                <c:pt idx="516">
                  <c:v>-127.69400333826692</c:v>
                </c:pt>
                <c:pt idx="517">
                  <c:v>-128.40683080498226</c:v>
                </c:pt>
                <c:pt idx="518">
                  <c:v>-129.12035460229635</c:v>
                </c:pt>
                <c:pt idx="519">
                  <c:v>-129.83427187416535</c:v>
                </c:pt>
                <c:pt idx="520">
                  <c:v>-130.54827439461528</c:v>
                </c:pt>
                <c:pt idx="521">
                  <c:v>-131.26204945366902</c:v>
                </c:pt>
                <c:pt idx="522">
                  <c:v>-131.97528076617726</c:v>
                </c:pt>
                <c:pt idx="523">
                  <c:v>-132.68764939805246</c:v>
                </c:pt>
                <c:pt idx="524">
                  <c:v>-133.3988347041896</c:v>
                </c:pt>
                <c:pt idx="525">
                  <c:v>-134.10851527220635</c:v>
                </c:pt>
                <c:pt idx="526">
                  <c:v>-134.81636986606864</c:v>
                </c:pt>
                <c:pt idx="527">
                  <c:v>-135.52207836364849</c:v>
                </c:pt>
                <c:pt idx="528">
                  <c:v>-136.22532268232956</c:v>
                </c:pt>
                <c:pt idx="529">
                  <c:v>-136.92578768692397</c:v>
                </c:pt>
                <c:pt idx="530">
                  <c:v>-137.62316207433716</c:v>
                </c:pt>
                <c:pt idx="531">
                  <c:v>-138.31713922972611</c:v>
                </c:pt>
                <c:pt idx="532">
                  <c:v>-139.00741804917587</c:v>
                </c:pt>
                <c:pt idx="533">
                  <c:v>-139.69370372434591</c:v>
                </c:pt>
                <c:pt idx="534">
                  <c:v>-140.37570848491356</c:v>
                </c:pt>
                <c:pt idx="535">
                  <c:v>-141.05315229514602</c:v>
                </c:pt>
                <c:pt idx="536">
                  <c:v>-141.72576350139698</c:v>
                </c:pt>
                <c:pt idx="537">
                  <c:v>-142.39327942785721</c:v>
                </c:pt>
                <c:pt idx="538">
                  <c:v>-143.05544691839859</c:v>
                </c:pt>
                <c:pt idx="539">
                  <c:v>-143.71202282290184</c:v>
                </c:pt>
                <c:pt idx="540">
                  <c:v>-144.36277442697425</c:v>
                </c:pt>
                <c:pt idx="541">
                  <c:v>-145.00747982449585</c:v>
                </c:pt>
              </c:numCache>
            </c:numRef>
          </c:yVal>
          <c:smooth val="1"/>
          <c:extLst>
            <c:ext xmlns:c16="http://schemas.microsoft.com/office/drawing/2014/chart" uri="{C3380CC4-5D6E-409C-BE32-E72D297353CC}">
              <c16:uniqueId val="{0000000B-7B61-4283-810C-F12CE5C5D333}"/>
            </c:ext>
          </c:extLst>
        </c:ser>
        <c:dLbls>
          <c:showLegendKey val="0"/>
          <c:showVal val="0"/>
          <c:showCatName val="0"/>
          <c:showSerName val="0"/>
          <c:showPercent val="0"/>
          <c:showBubbleSize val="0"/>
        </c:dLbls>
        <c:axId val="175150592"/>
        <c:axId val="175127936"/>
      </c:scatterChart>
      <c:valAx>
        <c:axId val="174189952"/>
        <c:scaling>
          <c:logBase val="10"/>
          <c:orientation val="minMax"/>
          <c:max val="20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US"/>
          </a:p>
        </c:txPr>
        <c:crossAx val="175126016"/>
        <c:crosses val="autoZero"/>
        <c:crossBetween val="midCat"/>
      </c:valAx>
      <c:valAx>
        <c:axId val="17512601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US"/>
          </a:p>
        </c:txPr>
        <c:crossAx val="174189952"/>
        <c:crosses val="autoZero"/>
        <c:crossBetween val="midCat"/>
        <c:majorUnit val="20"/>
        <c:minorUnit val="10"/>
      </c:valAx>
      <c:valAx>
        <c:axId val="175127936"/>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US"/>
          </a:p>
        </c:txPr>
        <c:crossAx val="175150592"/>
        <c:crosses val="max"/>
        <c:crossBetween val="midCat"/>
        <c:majorUnit val="90"/>
        <c:minorUnit val="45"/>
      </c:valAx>
      <c:valAx>
        <c:axId val="175150592"/>
        <c:scaling>
          <c:logBase val="10"/>
          <c:orientation val="minMax"/>
        </c:scaling>
        <c:delete val="1"/>
        <c:axPos val="b"/>
        <c:numFmt formatCode="0.00" sourceLinked="1"/>
        <c:majorTickMark val="out"/>
        <c:minorTickMark val="none"/>
        <c:tickLblPos val="nextTo"/>
        <c:crossAx val="175127936"/>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Eff_vs_IOUT!$AT$7:$AT$157</c:f>
              <c:numCache>
                <c:formatCode>General</c:formatCode>
                <c:ptCount val="151"/>
                <c:pt idx="0">
                  <c:v>0</c:v>
                </c:pt>
                <c:pt idx="1">
                  <c:v>10.970114698060518</c:v>
                </c:pt>
                <c:pt idx="2">
                  <c:v>19.512626646228533</c:v>
                </c:pt>
                <c:pt idx="3">
                  <c:v>26.351347485866999</c:v>
                </c:pt>
                <c:pt idx="4">
                  <c:v>31.94840350471312</c:v>
                </c:pt>
                <c:pt idx="5">
                  <c:v>36.612648802152258</c:v>
                </c:pt>
                <c:pt idx="6">
                  <c:v>40.558333278605367</c:v>
                </c:pt>
                <c:pt idx="7">
                  <c:v>43.938744774347995</c:v>
                </c:pt>
                <c:pt idx="8">
                  <c:v>46.866450076997303</c:v>
                </c:pt>
                <c:pt idx="9">
                  <c:v>49.425974167542662</c:v>
                </c:pt>
                <c:pt idx="10">
                  <c:v>51.682020011515043</c:v>
                </c:pt>
                <c:pt idx="11">
                  <c:v>53.684957297851113</c:v>
                </c:pt>
                <c:pt idx="12">
                  <c:v>55.474583153956623</c:v>
                </c:pt>
                <c:pt idx="13">
                  <c:v>57.233939032280368</c:v>
                </c:pt>
                <c:pt idx="14">
                  <c:v>58.708061700647228</c:v>
                </c:pt>
                <c:pt idx="15">
                  <c:v>60.048380502126705</c:v>
                </c:pt>
                <c:pt idx="16">
                  <c:v>61.272307686437465</c:v>
                </c:pt>
                <c:pt idx="17">
                  <c:v>62.394359905468733</c:v>
                </c:pt>
                <c:pt idx="18">
                  <c:v>63.426736098275768</c:v>
                </c:pt>
                <c:pt idx="19">
                  <c:v>64.379762291381226</c:v>
                </c:pt>
                <c:pt idx="20">
                  <c:v>65.262237749704269</c:v>
                </c:pt>
                <c:pt idx="21">
                  <c:v>66.08170709350793</c:v>
                </c:pt>
                <c:pt idx="22">
                  <c:v>66.84467621878504</c:v>
                </c:pt>
                <c:pt idx="23">
                  <c:v>67.55678511031067</c:v>
                </c:pt>
                <c:pt idx="24">
                  <c:v>68.222947264534341</c:v>
                </c:pt>
                <c:pt idx="25">
                  <c:v>68.847463014238386</c:v>
                </c:pt>
                <c:pt idx="26">
                  <c:v>69.43411228200668</c:v>
                </c:pt>
                <c:pt idx="27">
                  <c:v>69.986230991105899</c:v>
                </c:pt>
                <c:pt idx="28">
                  <c:v>70.506774397316889</c:v>
                </c:pt>
                <c:pt idx="29">
                  <c:v>70.998369881097162</c:v>
                </c:pt>
                <c:pt idx="30">
                  <c:v>71.463361191192078</c:v>
                </c:pt>
                <c:pt idx="31">
                  <c:v>71.903845712217276</c:v>
                </c:pt>
                <c:pt idx="32">
                  <c:v>72.321706006608139</c:v>
                </c:pt>
                <c:pt idx="33">
                  <c:v>72.718636631585525</c:v>
                </c:pt>
                <c:pt idx="34">
                  <c:v>73.096167036793318</c:v>
                </c:pt>
                <c:pt idx="35">
                  <c:v>73.455681194998874</c:v>
                </c:pt>
                <c:pt idx="36">
                  <c:v>73.798434497024488</c:v>
                </c:pt>
                <c:pt idx="37">
                  <c:v>74.125568345617211</c:v>
                </c:pt>
                <c:pt idx="38">
                  <c:v>74.438122805776388</c:v>
                </c:pt>
                <c:pt idx="39">
                  <c:v>74.737047606951975</c:v>
                </c:pt>
                <c:pt idx="40">
                  <c:v>75.023211742301072</c:v>
                </c:pt>
                <c:pt idx="41">
                  <c:v>75.297411869371189</c:v>
                </c:pt>
                <c:pt idx="42">
                  <c:v>75.560379683248229</c:v>
                </c:pt>
                <c:pt idx="43">
                  <c:v>75.812788405870961</c:v>
                </c:pt>
                <c:pt idx="44">
                  <c:v>76.055258512695275</c:v>
                </c:pt>
                <c:pt idx="45">
                  <c:v>76.288362799267603</c:v>
                </c:pt>
                <c:pt idx="46">
                  <c:v>76.512630874801246</c:v>
                </c:pt>
                <c:pt idx="47">
                  <c:v>76.728553156959947</c:v>
                </c:pt>
                <c:pt idx="48">
                  <c:v>76.936584431269495</c:v>
                </c:pt>
                <c:pt idx="49">
                  <c:v>77.137147029527341</c:v>
                </c:pt>
                <c:pt idx="50">
                  <c:v>77.330633673955845</c:v>
                </c:pt>
                <c:pt idx="51">
                  <c:v>77.517410027403571</c:v>
                </c:pt>
                <c:pt idx="52">
                  <c:v>77.697816984438532</c:v>
                </c:pt>
                <c:pt idx="53">
                  <c:v>77.872172733535891</c:v>
                </c:pt>
                <c:pt idx="54">
                  <c:v>78.040774616605063</c:v>
                </c:pt>
                <c:pt idx="55">
                  <c:v>78.203900808717336</c:v>
                </c:pt>
                <c:pt idx="56">
                  <c:v>78.361811837994992</c:v>
                </c:pt>
                <c:pt idx="57">
                  <c:v>78.514751963129726</c:v>
                </c:pt>
                <c:pt idx="58">
                  <c:v>78.662950423849679</c:v>
                </c:pt>
                <c:pt idx="59">
                  <c:v>78.806622577799857</c:v>
                </c:pt>
                <c:pt idx="60">
                  <c:v>78.945970935693225</c:v>
                </c:pt>
                <c:pt idx="61">
                  <c:v>79.08118610519675</c:v>
                </c:pt>
                <c:pt idx="62">
                  <c:v>79.212447652803803</c:v>
                </c:pt>
                <c:pt idx="63">
                  <c:v>79.339924891888174</c:v>
                </c:pt>
                <c:pt idx="64">
                  <c:v>79.463777604212027</c:v>
                </c:pt>
                <c:pt idx="65">
                  <c:v>79.584156701352626</c:v>
                </c:pt>
                <c:pt idx="66">
                  <c:v>79.701204831805214</c:v>
                </c:pt>
                <c:pt idx="67">
                  <c:v>79.815056938896618</c:v>
                </c:pt>
                <c:pt idx="68">
                  <c:v>79.925840774097523</c:v>
                </c:pt>
                <c:pt idx="69">
                  <c:v>80.033677369838827</c:v>
                </c:pt>
                <c:pt idx="70">
                  <c:v>80.138681475510339</c:v>
                </c:pt>
                <c:pt idx="71">
                  <c:v>80.240961959944286</c:v>
                </c:pt>
                <c:pt idx="72">
                  <c:v>80.340622183351101</c:v>
                </c:pt>
                <c:pt idx="73">
                  <c:v>80.437760341378464</c:v>
                </c:pt>
                <c:pt idx="74">
                  <c:v>80.532469783701558</c:v>
                </c:pt>
                <c:pt idx="75">
                  <c:v>80.624839309316712</c:v>
                </c:pt>
                <c:pt idx="76">
                  <c:v>80.714953440502498</c:v>
                </c:pt>
                <c:pt idx="77">
                  <c:v>80.802892677224506</c:v>
                </c:pt>
                <c:pt idx="78">
                  <c:v>80.888733733593298</c:v>
                </c:pt>
                <c:pt idx="79">
                  <c:v>80.972549757835807</c:v>
                </c:pt>
                <c:pt idx="80">
                  <c:v>81.05441053710534</c:v>
                </c:pt>
                <c:pt idx="81">
                  <c:v>81.134382688335847</c:v>
                </c:pt>
                <c:pt idx="82">
                  <c:v>81.21252983623738</c:v>
                </c:pt>
                <c:pt idx="83">
                  <c:v>81.28891277943211</c:v>
                </c:pt>
                <c:pt idx="84">
                  <c:v>81.363589645642762</c:v>
                </c:pt>
                <c:pt idx="85">
                  <c:v>81.436616036766111</c:v>
                </c:pt>
                <c:pt idx="86">
                  <c:v>81.508045164591934</c:v>
                </c:pt>
                <c:pt idx="87">
                  <c:v>81.577927977864391</c:v>
                </c:pt>
                <c:pt idx="88">
                  <c:v>81.646313281322563</c:v>
                </c:pt>
                <c:pt idx="89">
                  <c:v>81.713247847305411</c:v>
                </c:pt>
                <c:pt idx="90">
                  <c:v>81.778776520457001</c:v>
                </c:pt>
                <c:pt idx="91">
                  <c:v>81.84294231602469</c:v>
                </c:pt>
                <c:pt idx="92">
                  <c:v>81.905786512203065</c:v>
                </c:pt>
                <c:pt idx="93">
                  <c:v>81.967348736940281</c:v>
                </c:pt>
                <c:pt idx="94">
                  <c:v>82.027667049590207</c:v>
                </c:pt>
                <c:pt idx="95">
                  <c:v>82.086778017764033</c:v>
                </c:pt>
                <c:pt idx="96">
                  <c:v>82.144716789707488</c:v>
                </c:pt>
                <c:pt idx="97">
                  <c:v>82.201517162504544</c:v>
                </c:pt>
                <c:pt idx="98">
                  <c:v>82.257211646385713</c:v>
                </c:pt>
                <c:pt idx="99">
                  <c:v>82.311831525398077</c:v>
                </c:pt>
                <c:pt idx="100">
                  <c:v>82.365406914675049</c:v>
                </c:pt>
                <c:pt idx="101">
                  <c:v>82.417966814525982</c:v>
                </c:pt>
                <c:pt idx="102">
                  <c:v>82.469539161549861</c:v>
                </c:pt>
                <c:pt idx="103">
                  <c:v>82.52015087696229</c:v>
                </c:pt>
                <c:pt idx="104">
                  <c:v>82.569827912311439</c:v>
                </c:pt>
                <c:pt idx="105">
                  <c:v>82.618595292746193</c:v>
                </c:pt>
                <c:pt idx="106">
                  <c:v>82.66647715798797</c:v>
                </c:pt>
                <c:pt idx="107">
                  <c:v>82.713496801146903</c:v>
                </c:pt>
                <c:pt idx="108">
                  <c:v>82.759676705514053</c:v>
                </c:pt>
                <c:pt idx="109">
                  <c:v>82.805038579451377</c:v>
                </c:pt>
                <c:pt idx="110">
                  <c:v>82.849603389493126</c:v>
                </c:pt>
                <c:pt idx="111">
                  <c:v>82.893391391765107</c:v>
                </c:pt>
                <c:pt idx="112">
                  <c:v>82.936422161820303</c:v>
                </c:pt>
                <c:pt idx="113">
                  <c:v>82.978714622983517</c:v>
                </c:pt>
                <c:pt idx="114">
                  <c:v>83.020287073291087</c:v>
                </c:pt>
                <c:pt idx="115">
                  <c:v>83.061157211106121</c:v>
                </c:pt>
                <c:pt idx="116">
                  <c:v>83.101342159485</c:v>
                </c:pt>
                <c:pt idx="117">
                  <c:v>83.140858489365257</c:v>
                </c:pt>
                <c:pt idx="118">
                  <c:v>83.179722241640732</c:v>
                </c:pt>
                <c:pt idx="119">
                  <c:v>83.217948948186333</c:v>
                </c:pt>
                <c:pt idx="120">
                  <c:v>83.255553651889599</c:v>
                </c:pt>
                <c:pt idx="121">
                  <c:v>83.29255092574391</c:v>
                </c:pt>
                <c:pt idx="122">
                  <c:v>83.328954891053769</c:v>
                </c:pt>
                <c:pt idx="123">
                  <c:v>83.364779234800409</c:v>
                </c:pt>
                <c:pt idx="124">
                  <c:v>83.400037226212305</c:v>
                </c:pt>
                <c:pt idx="125">
                  <c:v>83.434741732582566</c:v>
                </c:pt>
                <c:pt idx="126">
                  <c:v>83.468905234373423</c:v>
                </c:pt>
                <c:pt idx="127">
                  <c:v>83.502539839644342</c:v>
                </c:pt>
                <c:pt idx="128">
                  <c:v>83.535657297839293</c:v>
                </c:pt>
                <c:pt idx="129">
                  <c:v>83.568269012965985</c:v>
                </c:pt>
                <c:pt idx="130">
                  <c:v>83.600386056198104</c:v>
                </c:pt>
                <c:pt idx="131">
                  <c:v>83.632019177929834</c:v>
                </c:pt>
                <c:pt idx="132">
                  <c:v>83.663178819310318</c:v>
                </c:pt>
                <c:pt idx="133">
                  <c:v>83.693875123283817</c:v>
                </c:pt>
                <c:pt idx="134">
                  <c:v>83.724117945160415</c:v>
                </c:pt>
                <c:pt idx="135">
                  <c:v>83.753916862740169</c:v>
                </c:pt>
                <c:pt idx="136">
                  <c:v>83.78328118601263</c:v>
                </c:pt>
                <c:pt idx="137">
                  <c:v>83.812219966452332</c:v>
                </c:pt>
                <c:pt idx="138">
                  <c:v>83.840742005929869</c:v>
                </c:pt>
                <c:pt idx="139">
                  <c:v>83.868855865256847</c:v>
                </c:pt>
                <c:pt idx="140">
                  <c:v>83.896569872382159</c:v>
                </c:pt>
                <c:pt idx="141">
                  <c:v>83.923892130256149</c:v>
                </c:pt>
                <c:pt idx="142">
                  <c:v>83.950830524378233</c:v>
                </c:pt>
                <c:pt idx="143">
                  <c:v>83.977392730042581</c:v>
                </c:pt>
                <c:pt idx="144">
                  <c:v>84.003586219296196</c:v>
                </c:pt>
                <c:pt idx="145">
                  <c:v>84.02941826762229</c:v>
                </c:pt>
                <c:pt idx="146">
                  <c:v>84.054895960361691</c:v>
                </c:pt>
                <c:pt idx="147">
                  <c:v>84.080026198884113</c:v>
                </c:pt>
                <c:pt idx="148">
                  <c:v>84.104815706520824</c:v>
                </c:pt>
                <c:pt idx="149">
                  <c:v>84.129271034268825</c:v>
                </c:pt>
                <c:pt idx="150">
                  <c:v>84.153398566277517</c:v>
                </c:pt>
              </c:numCache>
            </c:numRef>
          </c:yVal>
          <c:smooth val="0"/>
          <c:extLst>
            <c:ext xmlns:c16="http://schemas.microsoft.com/office/drawing/2014/chart" uri="{C3380CC4-5D6E-409C-BE32-E72D297353CC}">
              <c16:uniqueId val="{00000000-554C-4873-BA15-CBCC20149DCF}"/>
            </c:ext>
          </c:extLst>
        </c:ser>
        <c:dLbls>
          <c:showLegendKey val="0"/>
          <c:showVal val="0"/>
          <c:showCatName val="0"/>
          <c:showSerName val="0"/>
          <c:showPercent val="0"/>
          <c:showBubbleSize val="0"/>
        </c:dLbls>
        <c:axId val="178605056"/>
        <c:axId val="178615040"/>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Eff_vs_IOUT!$AI$7:$AI$157</c:f>
              <c:numCache>
                <c:formatCode>General</c:formatCode>
                <c:ptCount val="151"/>
                <c:pt idx="0">
                  <c:v>0</c:v>
                </c:pt>
                <c:pt idx="1">
                  <c:v>8.160603408314436E-2</c:v>
                </c:pt>
                <c:pt idx="2">
                  <c:v>0.16349542805048461</c:v>
                </c:pt>
                <c:pt idx="3">
                  <c:v>0.24563470427846668</c:v>
                </c:pt>
                <c:pt idx="4">
                  <c:v>0.32801757847094926</c:v>
                </c:pt>
                <c:pt idx="5">
                  <c:v>0.41064341880503896</c:v>
                </c:pt>
                <c:pt idx="6">
                  <c:v>0.49351385433277462</c:v>
                </c:pt>
                <c:pt idx="7">
                  <c:v>0.57663162493984954</c:v>
                </c:pt>
                <c:pt idx="8">
                  <c:v>0.66000007808432992</c:v>
                </c:pt>
                <c:pt idx="9">
                  <c:v>0.74362291441085415</c:v>
                </c:pt>
                <c:pt idx="10">
                  <c:v>0.82750404649670029</c:v>
                </c:pt>
                <c:pt idx="11">
                  <c:v>0.91164751507946307</c:v>
                </c:pt>
                <c:pt idx="12">
                  <c:v>0.99605743692972992</c:v>
                </c:pt>
                <c:pt idx="13">
                  <c:v>1.0605712261151197</c:v>
                </c:pt>
                <c:pt idx="14">
                  <c:v>1.1420972369576106</c:v>
                </c:pt>
                <c:pt idx="15">
                  <c:v>1.2236343727383732</c:v>
                </c:pt>
                <c:pt idx="16">
                  <c:v>1.305182633457407</c:v>
                </c:pt>
                <c:pt idx="17">
                  <c:v>1.3867420191147124</c:v>
                </c:pt>
                <c:pt idx="18">
                  <c:v>1.4683125297102897</c:v>
                </c:pt>
                <c:pt idx="19">
                  <c:v>1.5498941652441389</c:v>
                </c:pt>
                <c:pt idx="20">
                  <c:v>1.631486925716259</c:v>
                </c:pt>
                <c:pt idx="21">
                  <c:v>1.7130908111266514</c:v>
                </c:pt>
                <c:pt idx="22">
                  <c:v>1.7947058214753151</c:v>
                </c:pt>
                <c:pt idx="23">
                  <c:v>1.8763319567622507</c:v>
                </c:pt>
                <c:pt idx="24">
                  <c:v>1.9579692169874572</c:v>
                </c:pt>
                <c:pt idx="25">
                  <c:v>2.0396176021509356</c:v>
                </c:pt>
                <c:pt idx="26">
                  <c:v>2.1212771122526859</c:v>
                </c:pt>
                <c:pt idx="27">
                  <c:v>2.2029477472927081</c:v>
                </c:pt>
                <c:pt idx="28">
                  <c:v>2.284629507271001</c:v>
                </c:pt>
                <c:pt idx="29">
                  <c:v>2.3663223921875662</c:v>
                </c:pt>
                <c:pt idx="30">
                  <c:v>2.448026402042403</c:v>
                </c:pt>
                <c:pt idx="31">
                  <c:v>2.5297415368355112</c:v>
                </c:pt>
                <c:pt idx="32">
                  <c:v>2.6114677965668904</c:v>
                </c:pt>
                <c:pt idx="33">
                  <c:v>2.6932051812365416</c:v>
                </c:pt>
                <c:pt idx="34">
                  <c:v>2.7749536908444643</c:v>
                </c:pt>
                <c:pt idx="35">
                  <c:v>2.8567133253906589</c:v>
                </c:pt>
                <c:pt idx="36">
                  <c:v>2.938484084875125</c:v>
                </c:pt>
                <c:pt idx="37">
                  <c:v>3.0202659692978626</c:v>
                </c:pt>
                <c:pt idx="38">
                  <c:v>3.1020589786588726</c:v>
                </c:pt>
                <c:pt idx="39">
                  <c:v>3.1838631129581536</c:v>
                </c:pt>
                <c:pt idx="40">
                  <c:v>3.2656783721957057</c:v>
                </c:pt>
                <c:pt idx="41">
                  <c:v>3.3475047563715306</c:v>
                </c:pt>
                <c:pt idx="42">
                  <c:v>3.429342265485626</c:v>
                </c:pt>
                <c:pt idx="43">
                  <c:v>3.511190899537993</c:v>
                </c:pt>
                <c:pt idx="44">
                  <c:v>3.5930506585286324</c:v>
                </c:pt>
                <c:pt idx="45">
                  <c:v>3.6749215424575437</c:v>
                </c:pt>
                <c:pt idx="46">
                  <c:v>3.756803551324726</c:v>
                </c:pt>
                <c:pt idx="47">
                  <c:v>3.8386966851301789</c:v>
                </c:pt>
                <c:pt idx="48">
                  <c:v>3.9206009438739042</c:v>
                </c:pt>
                <c:pt idx="49">
                  <c:v>4.0025163275559015</c:v>
                </c:pt>
                <c:pt idx="50">
                  <c:v>4.0844428361761702</c:v>
                </c:pt>
                <c:pt idx="51">
                  <c:v>4.16638046973471</c:v>
                </c:pt>
                <c:pt idx="52">
                  <c:v>4.2483292282315226</c:v>
                </c:pt>
                <c:pt idx="53">
                  <c:v>4.3302891116666062</c:v>
                </c:pt>
                <c:pt idx="54">
                  <c:v>4.4122601200399618</c:v>
                </c:pt>
                <c:pt idx="55">
                  <c:v>4.4942422533515884</c:v>
                </c:pt>
                <c:pt idx="56">
                  <c:v>4.5762355116014861</c:v>
                </c:pt>
                <c:pt idx="57">
                  <c:v>4.6582398947896548</c:v>
                </c:pt>
                <c:pt idx="58">
                  <c:v>4.7402554029160981</c:v>
                </c:pt>
                <c:pt idx="59">
                  <c:v>4.8222820359808107</c:v>
                </c:pt>
                <c:pt idx="60">
                  <c:v>4.9043197939837953</c:v>
                </c:pt>
                <c:pt idx="61">
                  <c:v>4.9863686769250517</c:v>
                </c:pt>
                <c:pt idx="62">
                  <c:v>5.0684286848045801</c:v>
                </c:pt>
                <c:pt idx="63">
                  <c:v>5.1504998176223795</c:v>
                </c:pt>
                <c:pt idx="64">
                  <c:v>5.2325820753784491</c:v>
                </c:pt>
                <c:pt idx="65">
                  <c:v>5.3146754580727933</c:v>
                </c:pt>
                <c:pt idx="66">
                  <c:v>5.3967799657054059</c:v>
                </c:pt>
                <c:pt idx="67">
                  <c:v>5.478895598276293</c:v>
                </c:pt>
                <c:pt idx="68">
                  <c:v>5.5610223557854495</c:v>
                </c:pt>
                <c:pt idx="69">
                  <c:v>5.6431602382328787</c:v>
                </c:pt>
                <c:pt idx="70">
                  <c:v>5.7253092456185799</c:v>
                </c:pt>
                <c:pt idx="71">
                  <c:v>5.8074693779425521</c:v>
                </c:pt>
                <c:pt idx="72">
                  <c:v>5.8896406352047954</c:v>
                </c:pt>
                <c:pt idx="73">
                  <c:v>5.9718230174053106</c:v>
                </c:pt>
                <c:pt idx="74">
                  <c:v>6.0540165245440978</c:v>
                </c:pt>
                <c:pt idx="75">
                  <c:v>6.1362211566211569</c:v>
                </c:pt>
                <c:pt idx="76">
                  <c:v>6.2184369136364888</c:v>
                </c:pt>
                <c:pt idx="77">
                  <c:v>6.3006637955900899</c:v>
                </c:pt>
                <c:pt idx="78">
                  <c:v>6.3829018024819639</c:v>
                </c:pt>
                <c:pt idx="79">
                  <c:v>6.465150934312109</c:v>
                </c:pt>
                <c:pt idx="80">
                  <c:v>6.5474111910805242</c:v>
                </c:pt>
                <c:pt idx="81">
                  <c:v>6.629682572787214</c:v>
                </c:pt>
                <c:pt idx="82">
                  <c:v>6.7119650794321739</c:v>
                </c:pt>
                <c:pt idx="83">
                  <c:v>6.7942587110154058</c:v>
                </c:pt>
                <c:pt idx="84">
                  <c:v>6.8765634675369087</c:v>
                </c:pt>
                <c:pt idx="85">
                  <c:v>6.9588793489966827</c:v>
                </c:pt>
                <c:pt idx="86">
                  <c:v>7.0412063553947295</c:v>
                </c:pt>
                <c:pt idx="87">
                  <c:v>7.1235444867310482</c:v>
                </c:pt>
                <c:pt idx="88">
                  <c:v>7.2058937430056371</c:v>
                </c:pt>
                <c:pt idx="89">
                  <c:v>7.2882541242184988</c:v>
                </c:pt>
                <c:pt idx="90">
                  <c:v>7.3706256303696334</c:v>
                </c:pt>
                <c:pt idx="91">
                  <c:v>7.4530082614590354</c:v>
                </c:pt>
                <c:pt idx="92">
                  <c:v>7.5354020174867129</c:v>
                </c:pt>
                <c:pt idx="93">
                  <c:v>7.6178068984526588</c:v>
                </c:pt>
                <c:pt idx="94">
                  <c:v>7.7002229043568784</c:v>
                </c:pt>
                <c:pt idx="95">
                  <c:v>7.7826500351993708</c:v>
                </c:pt>
                <c:pt idx="96">
                  <c:v>7.8650882909801316</c:v>
                </c:pt>
                <c:pt idx="97">
                  <c:v>7.9475376716991661</c:v>
                </c:pt>
                <c:pt idx="98">
                  <c:v>8.0299981773564717</c:v>
                </c:pt>
                <c:pt idx="99">
                  <c:v>8.1124698079520492</c:v>
                </c:pt>
                <c:pt idx="100">
                  <c:v>8.1949525634858986</c:v>
                </c:pt>
                <c:pt idx="101">
                  <c:v>8.2774464439580182</c:v>
                </c:pt>
                <c:pt idx="102">
                  <c:v>8.3599514493684097</c:v>
                </c:pt>
                <c:pt idx="103">
                  <c:v>8.442467579717075</c:v>
                </c:pt>
                <c:pt idx="104">
                  <c:v>8.5249948350040103</c:v>
                </c:pt>
                <c:pt idx="105">
                  <c:v>8.6075332152292159</c:v>
                </c:pt>
                <c:pt idx="106">
                  <c:v>8.6900827203926951</c:v>
                </c:pt>
                <c:pt idx="107">
                  <c:v>8.7726433504944428</c:v>
                </c:pt>
                <c:pt idx="108">
                  <c:v>8.8552151055344694</c:v>
                </c:pt>
                <c:pt idx="109">
                  <c:v>8.9377979855127592</c:v>
                </c:pt>
                <c:pt idx="110">
                  <c:v>9.0203919904293262</c:v>
                </c:pt>
                <c:pt idx="111">
                  <c:v>9.1029971202841615</c:v>
                </c:pt>
                <c:pt idx="112">
                  <c:v>9.1856133750772706</c:v>
                </c:pt>
                <c:pt idx="113">
                  <c:v>9.2682407548086481</c:v>
                </c:pt>
                <c:pt idx="114">
                  <c:v>9.3508792594782992</c:v>
                </c:pt>
                <c:pt idx="115">
                  <c:v>9.4335288890862241</c:v>
                </c:pt>
                <c:pt idx="116">
                  <c:v>9.5161896436324209</c:v>
                </c:pt>
                <c:pt idx="117">
                  <c:v>9.5988615231168843</c:v>
                </c:pt>
                <c:pt idx="118">
                  <c:v>9.6815445275396232</c:v>
                </c:pt>
                <c:pt idx="119">
                  <c:v>9.7642386569006323</c:v>
                </c:pt>
                <c:pt idx="120">
                  <c:v>9.8469439111999133</c:v>
                </c:pt>
                <c:pt idx="121">
                  <c:v>9.9296602904374645</c:v>
                </c:pt>
                <c:pt idx="122">
                  <c:v>10.012387794613291</c:v>
                </c:pt>
                <c:pt idx="123">
                  <c:v>10.095126423727384</c:v>
                </c:pt>
                <c:pt idx="124">
                  <c:v>10.177876177779755</c:v>
                </c:pt>
                <c:pt idx="125">
                  <c:v>10.26063705677039</c:v>
                </c:pt>
                <c:pt idx="126">
                  <c:v>10.343409060699305</c:v>
                </c:pt>
                <c:pt idx="127">
                  <c:v>10.426192189566482</c:v>
                </c:pt>
                <c:pt idx="128">
                  <c:v>10.508986443371938</c:v>
                </c:pt>
                <c:pt idx="129">
                  <c:v>10.591791822115665</c:v>
                </c:pt>
                <c:pt idx="130">
                  <c:v>10.674608325797662</c:v>
                </c:pt>
                <c:pt idx="131">
                  <c:v>10.757435954417931</c:v>
                </c:pt>
                <c:pt idx="132">
                  <c:v>10.840274707976469</c:v>
                </c:pt>
                <c:pt idx="133">
                  <c:v>10.923124586473282</c:v>
                </c:pt>
                <c:pt idx="134">
                  <c:v>11.005985589908365</c:v>
                </c:pt>
                <c:pt idx="135">
                  <c:v>11.088857718281719</c:v>
                </c:pt>
                <c:pt idx="136">
                  <c:v>11.171740971593346</c:v>
                </c:pt>
                <c:pt idx="137">
                  <c:v>11.254635349843245</c:v>
                </c:pt>
                <c:pt idx="138">
                  <c:v>11.337540853031415</c:v>
                </c:pt>
                <c:pt idx="139">
                  <c:v>11.420457481157857</c:v>
                </c:pt>
                <c:pt idx="140">
                  <c:v>11.503385234222568</c:v>
                </c:pt>
                <c:pt idx="141">
                  <c:v>11.586324112225554</c:v>
                </c:pt>
                <c:pt idx="142">
                  <c:v>11.669274115166809</c:v>
                </c:pt>
                <c:pt idx="143">
                  <c:v>11.752235243046339</c:v>
                </c:pt>
                <c:pt idx="144">
                  <c:v>11.835207495864136</c:v>
                </c:pt>
                <c:pt idx="145">
                  <c:v>11.91819087362021</c:v>
                </c:pt>
                <c:pt idx="146">
                  <c:v>12.001185376314551</c:v>
                </c:pt>
                <c:pt idx="147">
                  <c:v>12.084191003947168</c:v>
                </c:pt>
                <c:pt idx="148">
                  <c:v>12.167207756518049</c:v>
                </c:pt>
                <c:pt idx="149">
                  <c:v>12.250235634027211</c:v>
                </c:pt>
                <c:pt idx="150">
                  <c:v>12.333274636474636</c:v>
                </c:pt>
              </c:numCache>
            </c:numRef>
          </c:yVal>
          <c:smooth val="1"/>
          <c:extLst>
            <c:ext xmlns:c16="http://schemas.microsoft.com/office/drawing/2014/chart" uri="{C3380CC4-5D6E-409C-BE32-E72D297353CC}">
              <c16:uniqueId val="{00000001-554C-4873-BA15-CBCC20149DCF}"/>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Eff_vs_IOUT!$AN$7:$AN$157</c:f>
              <c:numCache>
                <c:formatCode>General</c:formatCode>
                <c:ptCount val="151"/>
                <c:pt idx="0">
                  <c:v>4.8104000000000005</c:v>
                </c:pt>
                <c:pt idx="1">
                  <c:v>4.8138666666666667</c:v>
                </c:pt>
                <c:pt idx="2">
                  <c:v>4.8173333333333339</c:v>
                </c:pt>
                <c:pt idx="3">
                  <c:v>4.8208000000000002</c:v>
                </c:pt>
                <c:pt idx="4">
                  <c:v>4.8242666666666674</c:v>
                </c:pt>
                <c:pt idx="5">
                  <c:v>4.8277333333333337</c:v>
                </c:pt>
                <c:pt idx="6">
                  <c:v>4.8312000000000008</c:v>
                </c:pt>
                <c:pt idx="7">
                  <c:v>4.8346666666666671</c:v>
                </c:pt>
                <c:pt idx="8">
                  <c:v>4.8381333333333334</c:v>
                </c:pt>
                <c:pt idx="9">
                  <c:v>4.8416000000000006</c:v>
                </c:pt>
                <c:pt idx="10">
                  <c:v>4.8450666666666669</c:v>
                </c:pt>
                <c:pt idx="11">
                  <c:v>4.848533333333334</c:v>
                </c:pt>
                <c:pt idx="12">
                  <c:v>4.8520000000000003</c:v>
                </c:pt>
                <c:pt idx="13">
                  <c:v>4.8554666666666675</c:v>
                </c:pt>
                <c:pt idx="14">
                  <c:v>4.8589333333333338</c:v>
                </c:pt>
                <c:pt idx="15">
                  <c:v>4.8624000000000001</c:v>
                </c:pt>
                <c:pt idx="16">
                  <c:v>4.8658666666666672</c:v>
                </c:pt>
                <c:pt idx="17">
                  <c:v>4.8693333333333335</c:v>
                </c:pt>
                <c:pt idx="18">
                  <c:v>4.8728000000000007</c:v>
                </c:pt>
                <c:pt idx="19">
                  <c:v>4.876266666666667</c:v>
                </c:pt>
                <c:pt idx="20">
                  <c:v>4.8797333333333341</c:v>
                </c:pt>
                <c:pt idx="21">
                  <c:v>4.8832000000000004</c:v>
                </c:pt>
                <c:pt idx="22">
                  <c:v>4.8866666666666667</c:v>
                </c:pt>
                <c:pt idx="23">
                  <c:v>4.8901333333333339</c:v>
                </c:pt>
                <c:pt idx="24">
                  <c:v>4.8936000000000002</c:v>
                </c:pt>
                <c:pt idx="25">
                  <c:v>4.8970666666666673</c:v>
                </c:pt>
                <c:pt idx="26">
                  <c:v>4.9005333333333336</c:v>
                </c:pt>
                <c:pt idx="27">
                  <c:v>4.9040000000000008</c:v>
                </c:pt>
                <c:pt idx="28">
                  <c:v>4.9074666666666671</c:v>
                </c:pt>
                <c:pt idx="29">
                  <c:v>4.9109333333333334</c:v>
                </c:pt>
                <c:pt idx="30">
                  <c:v>4.9144000000000005</c:v>
                </c:pt>
                <c:pt idx="31">
                  <c:v>4.9178666666666668</c:v>
                </c:pt>
                <c:pt idx="32">
                  <c:v>4.921333333333334</c:v>
                </c:pt>
                <c:pt idx="33">
                  <c:v>4.9248000000000003</c:v>
                </c:pt>
                <c:pt idx="34">
                  <c:v>4.9282666666666675</c:v>
                </c:pt>
                <c:pt idx="35">
                  <c:v>4.9317333333333337</c:v>
                </c:pt>
                <c:pt idx="36">
                  <c:v>4.9352</c:v>
                </c:pt>
                <c:pt idx="37">
                  <c:v>4.9386666666666672</c:v>
                </c:pt>
                <c:pt idx="38">
                  <c:v>4.9421333333333335</c:v>
                </c:pt>
                <c:pt idx="39">
                  <c:v>4.9456000000000007</c:v>
                </c:pt>
                <c:pt idx="40">
                  <c:v>4.9490666666666669</c:v>
                </c:pt>
                <c:pt idx="41">
                  <c:v>4.9525333333333341</c:v>
                </c:pt>
                <c:pt idx="42">
                  <c:v>4.9560000000000004</c:v>
                </c:pt>
                <c:pt idx="43">
                  <c:v>4.9594666666666676</c:v>
                </c:pt>
                <c:pt idx="44">
                  <c:v>4.9629333333333339</c:v>
                </c:pt>
                <c:pt idx="45">
                  <c:v>4.9664000000000001</c:v>
                </c:pt>
                <c:pt idx="46">
                  <c:v>4.9698666666666673</c:v>
                </c:pt>
                <c:pt idx="47">
                  <c:v>4.9733333333333336</c:v>
                </c:pt>
                <c:pt idx="48">
                  <c:v>4.9768000000000008</c:v>
                </c:pt>
                <c:pt idx="49">
                  <c:v>4.9802666666666671</c:v>
                </c:pt>
                <c:pt idx="50">
                  <c:v>4.9837333333333342</c:v>
                </c:pt>
                <c:pt idx="51">
                  <c:v>4.9872000000000005</c:v>
                </c:pt>
                <c:pt idx="52">
                  <c:v>4.9906666666666668</c:v>
                </c:pt>
                <c:pt idx="53">
                  <c:v>4.994133333333334</c:v>
                </c:pt>
                <c:pt idx="54">
                  <c:v>4.9976000000000003</c:v>
                </c:pt>
                <c:pt idx="55">
                  <c:v>5.0010666666666674</c:v>
                </c:pt>
                <c:pt idx="56">
                  <c:v>5.0045333333333337</c:v>
                </c:pt>
                <c:pt idx="57">
                  <c:v>5.0080000000000009</c:v>
                </c:pt>
                <c:pt idx="58">
                  <c:v>5.0114666666666672</c:v>
                </c:pt>
                <c:pt idx="59">
                  <c:v>5.0149333333333335</c:v>
                </c:pt>
                <c:pt idx="60">
                  <c:v>5.0184000000000006</c:v>
                </c:pt>
                <c:pt idx="61">
                  <c:v>5.0218666666666669</c:v>
                </c:pt>
                <c:pt idx="62">
                  <c:v>5.0253333333333341</c:v>
                </c:pt>
                <c:pt idx="63">
                  <c:v>5.0288000000000004</c:v>
                </c:pt>
                <c:pt idx="64">
                  <c:v>5.0322666666666676</c:v>
                </c:pt>
                <c:pt idx="65">
                  <c:v>5.0357333333333338</c:v>
                </c:pt>
                <c:pt idx="66">
                  <c:v>5.0392000000000001</c:v>
                </c:pt>
                <c:pt idx="67">
                  <c:v>5.0426666666666673</c:v>
                </c:pt>
                <c:pt idx="68">
                  <c:v>5.0461333333333336</c:v>
                </c:pt>
                <c:pt idx="69">
                  <c:v>5.0496000000000008</c:v>
                </c:pt>
                <c:pt idx="70">
                  <c:v>5.053066666666667</c:v>
                </c:pt>
                <c:pt idx="71">
                  <c:v>5.0565333333333342</c:v>
                </c:pt>
                <c:pt idx="72">
                  <c:v>5.0600000000000005</c:v>
                </c:pt>
                <c:pt idx="73">
                  <c:v>5.0634666666666668</c:v>
                </c:pt>
                <c:pt idx="74">
                  <c:v>5.066933333333334</c:v>
                </c:pt>
                <c:pt idx="75">
                  <c:v>5.0704000000000002</c:v>
                </c:pt>
                <c:pt idx="76">
                  <c:v>5.0738666666666674</c:v>
                </c:pt>
                <c:pt idx="77">
                  <c:v>5.0773333333333337</c:v>
                </c:pt>
                <c:pt idx="78">
                  <c:v>5.0808000000000009</c:v>
                </c:pt>
                <c:pt idx="79">
                  <c:v>5.0842666666666672</c:v>
                </c:pt>
                <c:pt idx="80">
                  <c:v>5.0877333333333334</c:v>
                </c:pt>
                <c:pt idx="81">
                  <c:v>5.0912000000000006</c:v>
                </c:pt>
                <c:pt idx="82">
                  <c:v>5.0946666666666669</c:v>
                </c:pt>
                <c:pt idx="83">
                  <c:v>5.0981333333333341</c:v>
                </c:pt>
                <c:pt idx="84">
                  <c:v>5.1016000000000004</c:v>
                </c:pt>
                <c:pt idx="85">
                  <c:v>5.1050666666666675</c:v>
                </c:pt>
                <c:pt idx="86">
                  <c:v>5.1085333333333338</c:v>
                </c:pt>
                <c:pt idx="87">
                  <c:v>5.1120000000000001</c:v>
                </c:pt>
                <c:pt idx="88">
                  <c:v>5.1154666666666673</c:v>
                </c:pt>
                <c:pt idx="89">
                  <c:v>5.1189333333333336</c:v>
                </c:pt>
                <c:pt idx="90">
                  <c:v>5.1224000000000007</c:v>
                </c:pt>
                <c:pt idx="91">
                  <c:v>5.125866666666667</c:v>
                </c:pt>
                <c:pt idx="92">
                  <c:v>5.1293333333333342</c:v>
                </c:pt>
                <c:pt idx="93">
                  <c:v>5.1328000000000005</c:v>
                </c:pt>
                <c:pt idx="94">
                  <c:v>5.1362666666666668</c:v>
                </c:pt>
                <c:pt idx="95">
                  <c:v>5.1397333333333339</c:v>
                </c:pt>
                <c:pt idx="96">
                  <c:v>5.1432000000000002</c:v>
                </c:pt>
                <c:pt idx="97">
                  <c:v>5.1466666666666674</c:v>
                </c:pt>
                <c:pt idx="98">
                  <c:v>5.1501333333333337</c:v>
                </c:pt>
                <c:pt idx="99">
                  <c:v>5.1536000000000008</c:v>
                </c:pt>
                <c:pt idx="100">
                  <c:v>5.1570666666666671</c:v>
                </c:pt>
                <c:pt idx="101">
                  <c:v>5.1605333333333334</c:v>
                </c:pt>
                <c:pt idx="102">
                  <c:v>5.1640000000000006</c:v>
                </c:pt>
                <c:pt idx="103">
                  <c:v>5.1674666666666669</c:v>
                </c:pt>
                <c:pt idx="104">
                  <c:v>5.170933333333334</c:v>
                </c:pt>
                <c:pt idx="105">
                  <c:v>5.1744000000000003</c:v>
                </c:pt>
                <c:pt idx="106">
                  <c:v>5.1778666666666675</c:v>
                </c:pt>
                <c:pt idx="107">
                  <c:v>5.1813333333333338</c:v>
                </c:pt>
                <c:pt idx="108">
                  <c:v>5.184800000000001</c:v>
                </c:pt>
                <c:pt idx="109">
                  <c:v>5.1882666666666672</c:v>
                </c:pt>
                <c:pt idx="110">
                  <c:v>5.1917333333333335</c:v>
                </c:pt>
                <c:pt idx="111">
                  <c:v>5.1952000000000007</c:v>
                </c:pt>
                <c:pt idx="112">
                  <c:v>5.198666666666667</c:v>
                </c:pt>
                <c:pt idx="113">
                  <c:v>5.2021333333333342</c:v>
                </c:pt>
                <c:pt idx="114">
                  <c:v>5.2056000000000004</c:v>
                </c:pt>
                <c:pt idx="115">
                  <c:v>5.2090666666666667</c:v>
                </c:pt>
                <c:pt idx="116">
                  <c:v>5.2125333333333339</c:v>
                </c:pt>
                <c:pt idx="117">
                  <c:v>5.2160000000000002</c:v>
                </c:pt>
                <c:pt idx="118">
                  <c:v>5.2194666666666674</c:v>
                </c:pt>
                <c:pt idx="119">
                  <c:v>5.2229333333333336</c:v>
                </c:pt>
                <c:pt idx="120">
                  <c:v>5.2264000000000008</c:v>
                </c:pt>
                <c:pt idx="121">
                  <c:v>5.2298666666666671</c:v>
                </c:pt>
                <c:pt idx="122">
                  <c:v>5.2333333333333343</c:v>
                </c:pt>
                <c:pt idx="123">
                  <c:v>5.2368000000000006</c:v>
                </c:pt>
                <c:pt idx="124">
                  <c:v>5.2402666666666669</c:v>
                </c:pt>
                <c:pt idx="125">
                  <c:v>5.243733333333334</c:v>
                </c:pt>
                <c:pt idx="126">
                  <c:v>5.2472000000000003</c:v>
                </c:pt>
                <c:pt idx="127">
                  <c:v>5.2506666666666675</c:v>
                </c:pt>
                <c:pt idx="128">
                  <c:v>5.2541333333333338</c:v>
                </c:pt>
                <c:pt idx="129">
                  <c:v>5.2576000000000001</c:v>
                </c:pt>
                <c:pt idx="130">
                  <c:v>5.2610666666666672</c:v>
                </c:pt>
                <c:pt idx="131">
                  <c:v>5.2645333333333335</c:v>
                </c:pt>
                <c:pt idx="132">
                  <c:v>5.2680000000000007</c:v>
                </c:pt>
                <c:pt idx="133">
                  <c:v>5.271466666666667</c:v>
                </c:pt>
                <c:pt idx="134">
                  <c:v>5.2749333333333341</c:v>
                </c:pt>
                <c:pt idx="135">
                  <c:v>5.2784000000000004</c:v>
                </c:pt>
                <c:pt idx="136">
                  <c:v>5.2818666666666676</c:v>
                </c:pt>
                <c:pt idx="137">
                  <c:v>5.2853333333333339</c:v>
                </c:pt>
                <c:pt idx="138">
                  <c:v>5.2888000000000002</c:v>
                </c:pt>
                <c:pt idx="139">
                  <c:v>5.2922666666666673</c:v>
                </c:pt>
                <c:pt idx="140">
                  <c:v>5.2957333333333336</c:v>
                </c:pt>
                <c:pt idx="141">
                  <c:v>5.2992000000000008</c:v>
                </c:pt>
                <c:pt idx="142">
                  <c:v>5.3026666666666671</c:v>
                </c:pt>
                <c:pt idx="143">
                  <c:v>5.3061333333333334</c:v>
                </c:pt>
                <c:pt idx="144">
                  <c:v>5.3096000000000005</c:v>
                </c:pt>
                <c:pt idx="145">
                  <c:v>5.3130666666666668</c:v>
                </c:pt>
                <c:pt idx="146">
                  <c:v>5.316533333333334</c:v>
                </c:pt>
                <c:pt idx="147">
                  <c:v>5.32</c:v>
                </c:pt>
                <c:pt idx="148">
                  <c:v>5.3234666666666675</c:v>
                </c:pt>
                <c:pt idx="149">
                  <c:v>5.3269333333333337</c:v>
                </c:pt>
                <c:pt idx="150">
                  <c:v>5.3304000000000009</c:v>
                </c:pt>
              </c:numCache>
            </c:numRef>
          </c:yVal>
          <c:smooth val="1"/>
          <c:extLst>
            <c:ext xmlns:c16="http://schemas.microsoft.com/office/drawing/2014/chart" uri="{C3380CC4-5D6E-409C-BE32-E72D297353CC}">
              <c16:uniqueId val="{00000002-554C-4873-BA15-CBCC20149DCF}"/>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Eff_vs_IOUT!$AO$7:$AO$157</c:f>
              <c:numCache>
                <c:formatCode>General</c:formatCode>
                <c:ptCount val="151"/>
                <c:pt idx="0">
                  <c:v>0</c:v>
                </c:pt>
                <c:pt idx="1">
                  <c:v>2.0928173392742363E-4</c:v>
                </c:pt>
                <c:pt idx="2">
                  <c:v>6.7616336257839008E-4</c:v>
                </c:pt>
                <c:pt idx="3">
                  <c:v>1.3702106827219375E-3</c:v>
                </c:pt>
                <c:pt idx="4">
                  <c:v>2.2857106978659376E-3</c:v>
                </c:pt>
                <c:pt idx="5">
                  <c:v>3.4220890235619125E-3</c:v>
                </c:pt>
                <c:pt idx="6">
                  <c:v>4.7808266162086641E-3</c:v>
                </c:pt>
                <c:pt idx="7">
                  <c:v>6.3644142809819856E-3</c:v>
                </c:pt>
                <c:pt idx="8">
                  <c:v>8.1758951615785256E-3</c:v>
                </c:pt>
                <c:pt idx="9">
                  <c:v>1.0218633480396817E-2</c:v>
                </c:pt>
                <c:pt idx="10">
                  <c:v>1.2496186125871394E-2</c:v>
                </c:pt>
                <c:pt idx="11">
                  <c:v>1.5012226495815432E-2</c:v>
                </c:pt>
                <c:pt idx="12">
                  <c:v>1.7770497108945248E-2</c:v>
                </c:pt>
                <c:pt idx="13">
                  <c:v>2.4413743903683302E-3</c:v>
                </c:pt>
                <c:pt idx="14">
                  <c:v>2.5779077237016636E-3</c:v>
                </c:pt>
                <c:pt idx="15">
                  <c:v>2.724554637281911E-3</c:v>
                </c:pt>
                <c:pt idx="16">
                  <c:v>2.8813151311090713E-3</c:v>
                </c:pt>
                <c:pt idx="17">
                  <c:v>3.0481892051831454E-3</c:v>
                </c:pt>
                <c:pt idx="18">
                  <c:v>3.2251768595041325E-3</c:v>
                </c:pt>
                <c:pt idx="19">
                  <c:v>3.4122780940720335E-3</c:v>
                </c:pt>
                <c:pt idx="20">
                  <c:v>3.6094929088868488E-3</c:v>
                </c:pt>
                <c:pt idx="21">
                  <c:v>3.8168213039485774E-3</c:v>
                </c:pt>
                <c:pt idx="22">
                  <c:v>4.0342632792572195E-3</c:v>
                </c:pt>
                <c:pt idx="23">
                  <c:v>4.2618188348127741E-3</c:v>
                </c:pt>
                <c:pt idx="24">
                  <c:v>4.4994879706152435E-3</c:v>
                </c:pt>
                <c:pt idx="25">
                  <c:v>4.7472706866646258E-3</c:v>
                </c:pt>
                <c:pt idx="26">
                  <c:v>5.0051669829609229E-3</c:v>
                </c:pt>
                <c:pt idx="27">
                  <c:v>5.2731768595041329E-3</c:v>
                </c:pt>
                <c:pt idx="28">
                  <c:v>5.5513003162942567E-3</c:v>
                </c:pt>
                <c:pt idx="29">
                  <c:v>5.8395373533312936E-3</c:v>
                </c:pt>
                <c:pt idx="30">
                  <c:v>6.137887970615246E-3</c:v>
                </c:pt>
                <c:pt idx="31">
                  <c:v>6.4463521681461097E-3</c:v>
                </c:pt>
                <c:pt idx="32">
                  <c:v>6.7649299459238855E-3</c:v>
                </c:pt>
                <c:pt idx="33">
                  <c:v>7.093621303948576E-3</c:v>
                </c:pt>
                <c:pt idx="34">
                  <c:v>7.4324262422201821E-3</c:v>
                </c:pt>
                <c:pt idx="35">
                  <c:v>7.7813447607387011E-3</c:v>
                </c:pt>
                <c:pt idx="36">
                  <c:v>8.1403768595041358E-3</c:v>
                </c:pt>
                <c:pt idx="37">
                  <c:v>8.5095225385164782E-3</c:v>
                </c:pt>
                <c:pt idx="38">
                  <c:v>8.8887817977757379E-3</c:v>
                </c:pt>
                <c:pt idx="39">
                  <c:v>9.2781546372819115E-3</c:v>
                </c:pt>
                <c:pt idx="40">
                  <c:v>9.677641057034999E-3</c:v>
                </c:pt>
                <c:pt idx="41">
                  <c:v>1.0087241057034999E-2</c:v>
                </c:pt>
                <c:pt idx="42">
                  <c:v>1.0506954637281912E-2</c:v>
                </c:pt>
                <c:pt idx="43">
                  <c:v>1.0936781797775739E-2</c:v>
                </c:pt>
                <c:pt idx="44">
                  <c:v>1.1376722538516479E-2</c:v>
                </c:pt>
                <c:pt idx="45">
                  <c:v>1.1826776859504135E-2</c:v>
                </c:pt>
                <c:pt idx="46">
                  <c:v>1.2286944760738704E-2</c:v>
                </c:pt>
                <c:pt idx="47">
                  <c:v>1.2757226242220183E-2</c:v>
                </c:pt>
                <c:pt idx="48">
                  <c:v>1.3237621303948576E-2</c:v>
                </c:pt>
                <c:pt idx="49">
                  <c:v>1.3728129945923885E-2</c:v>
                </c:pt>
                <c:pt idx="50">
                  <c:v>1.4228752168146107E-2</c:v>
                </c:pt>
                <c:pt idx="51">
                  <c:v>1.4739487970615245E-2</c:v>
                </c:pt>
                <c:pt idx="52">
                  <c:v>1.5260337353331294E-2</c:v>
                </c:pt>
                <c:pt idx="53">
                  <c:v>1.5791300316294256E-2</c:v>
                </c:pt>
                <c:pt idx="54">
                  <c:v>1.6332376859504134E-2</c:v>
                </c:pt>
                <c:pt idx="55">
                  <c:v>1.6883566982960931E-2</c:v>
                </c:pt>
                <c:pt idx="56">
                  <c:v>1.7444870686664633E-2</c:v>
                </c:pt>
                <c:pt idx="57">
                  <c:v>1.801628797061525E-2</c:v>
                </c:pt>
                <c:pt idx="58">
                  <c:v>1.859781883481278E-2</c:v>
                </c:pt>
                <c:pt idx="59">
                  <c:v>1.9189463279257225E-2</c:v>
                </c:pt>
                <c:pt idx="60">
                  <c:v>1.9791221303948586E-2</c:v>
                </c:pt>
                <c:pt idx="61">
                  <c:v>2.0403092908886845E-2</c:v>
                </c:pt>
                <c:pt idx="62">
                  <c:v>2.1025078094072041E-2</c:v>
                </c:pt>
                <c:pt idx="63">
                  <c:v>2.1657176859504135E-2</c:v>
                </c:pt>
                <c:pt idx="64">
                  <c:v>2.2299389205183144E-2</c:v>
                </c:pt>
                <c:pt idx="65">
                  <c:v>2.2951715131109079E-2</c:v>
                </c:pt>
                <c:pt idx="66">
                  <c:v>2.361415463728191E-2</c:v>
                </c:pt>
                <c:pt idx="67">
                  <c:v>2.4286707723701676E-2</c:v>
                </c:pt>
                <c:pt idx="68">
                  <c:v>2.4969374390368337E-2</c:v>
                </c:pt>
                <c:pt idx="69">
                  <c:v>2.5662154637281918E-2</c:v>
                </c:pt>
                <c:pt idx="70">
                  <c:v>2.6365048464442407E-2</c:v>
                </c:pt>
                <c:pt idx="71">
                  <c:v>2.7078055871849818E-2</c:v>
                </c:pt>
                <c:pt idx="72">
                  <c:v>2.7801176859504149E-2</c:v>
                </c:pt>
                <c:pt idx="73">
                  <c:v>2.8534411427405364E-2</c:v>
                </c:pt>
                <c:pt idx="74">
                  <c:v>2.9277759575553518E-2</c:v>
                </c:pt>
                <c:pt idx="75">
                  <c:v>3.0031221303948575E-2</c:v>
                </c:pt>
                <c:pt idx="76">
                  <c:v>3.0794796612590557E-2</c:v>
                </c:pt>
                <c:pt idx="77">
                  <c:v>3.1568485501479455E-2</c:v>
                </c:pt>
                <c:pt idx="78">
                  <c:v>3.2352287970615241E-2</c:v>
                </c:pt>
                <c:pt idx="79">
                  <c:v>3.3146204019997967E-2</c:v>
                </c:pt>
                <c:pt idx="80">
                  <c:v>3.3950233649627591E-2</c:v>
                </c:pt>
                <c:pt idx="81">
                  <c:v>3.4764376859504148E-2</c:v>
                </c:pt>
                <c:pt idx="82">
                  <c:v>3.5588633649627589E-2</c:v>
                </c:pt>
                <c:pt idx="83">
                  <c:v>3.642300401999797E-2</c:v>
                </c:pt>
                <c:pt idx="84">
                  <c:v>3.726748797061525E-2</c:v>
                </c:pt>
                <c:pt idx="85">
                  <c:v>3.8122085501479441E-2</c:v>
                </c:pt>
                <c:pt idx="86">
                  <c:v>3.8986796612590566E-2</c:v>
                </c:pt>
                <c:pt idx="87">
                  <c:v>3.9861621303948588E-2</c:v>
                </c:pt>
                <c:pt idx="88">
                  <c:v>4.0746559575553516E-2</c:v>
                </c:pt>
                <c:pt idx="89">
                  <c:v>4.1641611427405391E-2</c:v>
                </c:pt>
                <c:pt idx="90">
                  <c:v>4.254677685950415E-2</c:v>
                </c:pt>
                <c:pt idx="91">
                  <c:v>4.3462055871849814E-2</c:v>
                </c:pt>
                <c:pt idx="92">
                  <c:v>4.4387448464442425E-2</c:v>
                </c:pt>
                <c:pt idx="93">
                  <c:v>4.532295463728192E-2</c:v>
                </c:pt>
                <c:pt idx="94">
                  <c:v>4.6268574390368342E-2</c:v>
                </c:pt>
                <c:pt idx="95">
                  <c:v>4.7224307723701689E-2</c:v>
                </c:pt>
                <c:pt idx="96">
                  <c:v>4.8190154637281907E-2</c:v>
                </c:pt>
                <c:pt idx="97">
                  <c:v>4.9166115131109085E-2</c:v>
                </c:pt>
                <c:pt idx="98">
                  <c:v>5.0152189205183148E-2</c:v>
                </c:pt>
                <c:pt idx="99">
                  <c:v>5.114837685950413E-2</c:v>
                </c:pt>
                <c:pt idx="100">
                  <c:v>5.2154678094072038E-2</c:v>
                </c:pt>
                <c:pt idx="101">
                  <c:v>5.3171092908886851E-2</c:v>
                </c:pt>
                <c:pt idx="102">
                  <c:v>5.4197621303948597E-2</c:v>
                </c:pt>
                <c:pt idx="103">
                  <c:v>5.5234263279257241E-2</c:v>
                </c:pt>
                <c:pt idx="104">
                  <c:v>5.6281018834812784E-2</c:v>
                </c:pt>
                <c:pt idx="105">
                  <c:v>5.7337887970615252E-2</c:v>
                </c:pt>
                <c:pt idx="106">
                  <c:v>5.8404870686664639E-2</c:v>
                </c:pt>
                <c:pt idx="107">
                  <c:v>5.9481966982960932E-2</c:v>
                </c:pt>
                <c:pt idx="108">
                  <c:v>6.0569176859504144E-2</c:v>
                </c:pt>
                <c:pt idx="109">
                  <c:v>6.1666500316294261E-2</c:v>
                </c:pt>
                <c:pt idx="110">
                  <c:v>6.2773937353331311E-2</c:v>
                </c:pt>
                <c:pt idx="111">
                  <c:v>6.3891487970615252E-2</c:v>
                </c:pt>
                <c:pt idx="112">
                  <c:v>6.5019152168146119E-2</c:v>
                </c:pt>
                <c:pt idx="113">
                  <c:v>6.6156929945923898E-2</c:v>
                </c:pt>
                <c:pt idx="114">
                  <c:v>6.7304821303948603E-2</c:v>
                </c:pt>
                <c:pt idx="115">
                  <c:v>6.8462826242220179E-2</c:v>
                </c:pt>
                <c:pt idx="116">
                  <c:v>6.9630944760738736E-2</c:v>
                </c:pt>
                <c:pt idx="117">
                  <c:v>7.080917685950415E-2</c:v>
                </c:pt>
                <c:pt idx="118">
                  <c:v>7.1997522538516476E-2</c:v>
                </c:pt>
                <c:pt idx="119">
                  <c:v>7.3195981797775728E-2</c:v>
                </c:pt>
                <c:pt idx="120">
                  <c:v>7.4404554637281919E-2</c:v>
                </c:pt>
                <c:pt idx="121">
                  <c:v>7.5623241057035051E-2</c:v>
                </c:pt>
                <c:pt idx="122">
                  <c:v>7.6852041057034998E-2</c:v>
                </c:pt>
                <c:pt idx="123">
                  <c:v>7.8090954637281884E-2</c:v>
                </c:pt>
                <c:pt idx="124">
                  <c:v>7.933998179777578E-2</c:v>
                </c:pt>
                <c:pt idx="125">
                  <c:v>8.0599122538516491E-2</c:v>
                </c:pt>
                <c:pt idx="126">
                  <c:v>8.1868376859504141E-2</c:v>
                </c:pt>
                <c:pt idx="127">
                  <c:v>8.314774476073869E-2</c:v>
                </c:pt>
                <c:pt idx="128">
                  <c:v>8.4437226242220179E-2</c:v>
                </c:pt>
                <c:pt idx="129">
                  <c:v>8.5736821303948579E-2</c:v>
                </c:pt>
                <c:pt idx="130">
                  <c:v>8.7046529945923892E-2</c:v>
                </c:pt>
                <c:pt idx="131">
                  <c:v>8.8366352168146076E-2</c:v>
                </c:pt>
                <c:pt idx="132">
                  <c:v>8.9696287970615227E-2</c:v>
                </c:pt>
                <c:pt idx="133">
                  <c:v>9.103633735333129E-2</c:v>
                </c:pt>
                <c:pt idx="134">
                  <c:v>9.2386500316294279E-2</c:v>
                </c:pt>
                <c:pt idx="135">
                  <c:v>9.3746776859504138E-2</c:v>
                </c:pt>
                <c:pt idx="136">
                  <c:v>9.5117166982960938E-2</c:v>
                </c:pt>
                <c:pt idx="137">
                  <c:v>9.6497670686664649E-2</c:v>
                </c:pt>
                <c:pt idx="138">
                  <c:v>9.7888287970615245E-2</c:v>
                </c:pt>
                <c:pt idx="139">
                  <c:v>9.9289018834812809E-2</c:v>
                </c:pt>
                <c:pt idx="140">
                  <c:v>0.10069986327925722</c:v>
                </c:pt>
                <c:pt idx="141">
                  <c:v>0.1021208213039486</c:v>
                </c:pt>
                <c:pt idx="142">
                  <c:v>0.10355189290888686</c:v>
                </c:pt>
                <c:pt idx="143">
                  <c:v>0.10499307809407205</c:v>
                </c:pt>
                <c:pt idx="144">
                  <c:v>0.10644437685950417</c:v>
                </c:pt>
                <c:pt idx="145">
                  <c:v>0.10790578920518311</c:v>
                </c:pt>
                <c:pt idx="146">
                  <c:v>0.10937731513110907</c:v>
                </c:pt>
                <c:pt idx="147">
                  <c:v>0.11085895463728195</c:v>
                </c:pt>
                <c:pt idx="148">
                  <c:v>0.11235070772370165</c:v>
                </c:pt>
                <c:pt idx="149">
                  <c:v>0.11385257439036833</c:v>
                </c:pt>
                <c:pt idx="150">
                  <c:v>0.11536455463728189</c:v>
                </c:pt>
              </c:numCache>
            </c:numRef>
          </c:yVal>
          <c:smooth val="1"/>
          <c:extLst>
            <c:ext xmlns:c16="http://schemas.microsoft.com/office/drawing/2014/chart" uri="{C3380CC4-5D6E-409C-BE32-E72D297353CC}">
              <c16:uniqueId val="{00000003-554C-4873-BA15-CBCC20149DCF}"/>
            </c:ext>
          </c:extLst>
        </c:ser>
        <c:dLbls>
          <c:showLegendKey val="0"/>
          <c:showVal val="0"/>
          <c:showCatName val="0"/>
          <c:showSerName val="0"/>
          <c:showPercent val="0"/>
          <c:showBubbleSize val="0"/>
        </c:dLbls>
        <c:axId val="178635520"/>
        <c:axId val="178616960"/>
      </c:scatterChart>
      <c:valAx>
        <c:axId val="178605056"/>
        <c:scaling>
          <c:orientation val="minMax"/>
        </c:scaling>
        <c:delete val="0"/>
        <c:axPos val="b"/>
        <c:majorGridlines/>
        <c:numFmt formatCode="General" sourceLinked="1"/>
        <c:majorTickMark val="out"/>
        <c:minorTickMark val="none"/>
        <c:tickLblPos val="nextTo"/>
        <c:crossAx val="178615040"/>
        <c:crosses val="autoZero"/>
        <c:crossBetween val="midCat"/>
      </c:valAx>
      <c:valAx>
        <c:axId val="178615040"/>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78605056"/>
        <c:crosses val="autoZero"/>
        <c:crossBetween val="midCat"/>
      </c:valAx>
      <c:valAx>
        <c:axId val="178616960"/>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78635520"/>
        <c:crosses val="max"/>
        <c:crossBetween val="midCat"/>
      </c:valAx>
      <c:valAx>
        <c:axId val="178635520"/>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178616960"/>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Eff_vs_IOUT!$AT$7:$AT$157</c:f>
              <c:numCache>
                <c:formatCode>General</c:formatCode>
                <c:ptCount val="151"/>
                <c:pt idx="0">
                  <c:v>0</c:v>
                </c:pt>
                <c:pt idx="1">
                  <c:v>10.970114698060518</c:v>
                </c:pt>
                <c:pt idx="2">
                  <c:v>19.512626646228533</c:v>
                </c:pt>
                <c:pt idx="3">
                  <c:v>26.351347485866999</c:v>
                </c:pt>
                <c:pt idx="4">
                  <c:v>31.94840350471312</c:v>
                </c:pt>
                <c:pt idx="5">
                  <c:v>36.612648802152258</c:v>
                </c:pt>
                <c:pt idx="6">
                  <c:v>40.558333278605367</c:v>
                </c:pt>
                <c:pt idx="7">
                  <c:v>43.938744774347995</c:v>
                </c:pt>
                <c:pt idx="8">
                  <c:v>46.866450076997303</c:v>
                </c:pt>
                <c:pt idx="9">
                  <c:v>49.425974167542662</c:v>
                </c:pt>
                <c:pt idx="10">
                  <c:v>51.682020011515043</c:v>
                </c:pt>
                <c:pt idx="11">
                  <c:v>53.684957297851113</c:v>
                </c:pt>
                <c:pt idx="12">
                  <c:v>55.474583153956623</c:v>
                </c:pt>
                <c:pt idx="13">
                  <c:v>57.233939032280368</c:v>
                </c:pt>
                <c:pt idx="14">
                  <c:v>58.708061700647228</c:v>
                </c:pt>
                <c:pt idx="15">
                  <c:v>60.048380502126705</c:v>
                </c:pt>
                <c:pt idx="16">
                  <c:v>61.272307686437465</c:v>
                </c:pt>
                <c:pt idx="17">
                  <c:v>62.394359905468733</c:v>
                </c:pt>
                <c:pt idx="18">
                  <c:v>63.426736098275768</c:v>
                </c:pt>
                <c:pt idx="19">
                  <c:v>64.379762291381226</c:v>
                </c:pt>
                <c:pt idx="20">
                  <c:v>65.262237749704269</c:v>
                </c:pt>
                <c:pt idx="21">
                  <c:v>66.08170709350793</c:v>
                </c:pt>
                <c:pt idx="22">
                  <c:v>66.84467621878504</c:v>
                </c:pt>
                <c:pt idx="23">
                  <c:v>67.55678511031067</c:v>
                </c:pt>
                <c:pt idx="24">
                  <c:v>68.222947264534341</c:v>
                </c:pt>
                <c:pt idx="25">
                  <c:v>68.847463014238386</c:v>
                </c:pt>
                <c:pt idx="26">
                  <c:v>69.43411228200668</c:v>
                </c:pt>
                <c:pt idx="27">
                  <c:v>69.986230991105899</c:v>
                </c:pt>
                <c:pt idx="28">
                  <c:v>70.506774397316889</c:v>
                </c:pt>
                <c:pt idx="29">
                  <c:v>70.998369881097162</c:v>
                </c:pt>
                <c:pt idx="30">
                  <c:v>71.463361191192078</c:v>
                </c:pt>
                <c:pt idx="31">
                  <c:v>71.903845712217276</c:v>
                </c:pt>
                <c:pt idx="32">
                  <c:v>72.321706006608139</c:v>
                </c:pt>
                <c:pt idx="33">
                  <c:v>72.718636631585525</c:v>
                </c:pt>
                <c:pt idx="34">
                  <c:v>73.096167036793318</c:v>
                </c:pt>
                <c:pt idx="35">
                  <c:v>73.455681194998874</c:v>
                </c:pt>
                <c:pt idx="36">
                  <c:v>73.798434497024488</c:v>
                </c:pt>
                <c:pt idx="37">
                  <c:v>74.125568345617211</c:v>
                </c:pt>
                <c:pt idx="38">
                  <c:v>74.438122805776388</c:v>
                </c:pt>
                <c:pt idx="39">
                  <c:v>74.737047606951975</c:v>
                </c:pt>
                <c:pt idx="40">
                  <c:v>75.023211742301072</c:v>
                </c:pt>
                <c:pt idx="41">
                  <c:v>75.297411869371189</c:v>
                </c:pt>
                <c:pt idx="42">
                  <c:v>75.560379683248229</c:v>
                </c:pt>
                <c:pt idx="43">
                  <c:v>75.812788405870961</c:v>
                </c:pt>
                <c:pt idx="44">
                  <c:v>76.055258512695275</c:v>
                </c:pt>
                <c:pt idx="45">
                  <c:v>76.288362799267603</c:v>
                </c:pt>
                <c:pt idx="46">
                  <c:v>76.512630874801246</c:v>
                </c:pt>
                <c:pt idx="47">
                  <c:v>76.728553156959947</c:v>
                </c:pt>
                <c:pt idx="48">
                  <c:v>76.936584431269495</c:v>
                </c:pt>
                <c:pt idx="49">
                  <c:v>77.137147029527341</c:v>
                </c:pt>
                <c:pt idx="50">
                  <c:v>77.330633673955845</c:v>
                </c:pt>
                <c:pt idx="51">
                  <c:v>77.517410027403571</c:v>
                </c:pt>
                <c:pt idx="52">
                  <c:v>77.697816984438532</c:v>
                </c:pt>
                <c:pt idx="53">
                  <c:v>77.872172733535891</c:v>
                </c:pt>
                <c:pt idx="54">
                  <c:v>78.040774616605063</c:v>
                </c:pt>
                <c:pt idx="55">
                  <c:v>78.203900808717336</c:v>
                </c:pt>
                <c:pt idx="56">
                  <c:v>78.361811837994992</c:v>
                </c:pt>
                <c:pt idx="57">
                  <c:v>78.514751963129726</c:v>
                </c:pt>
                <c:pt idx="58">
                  <c:v>78.662950423849679</c:v>
                </c:pt>
                <c:pt idx="59">
                  <c:v>78.806622577799857</c:v>
                </c:pt>
                <c:pt idx="60">
                  <c:v>78.945970935693225</c:v>
                </c:pt>
                <c:pt idx="61">
                  <c:v>79.08118610519675</c:v>
                </c:pt>
                <c:pt idx="62">
                  <c:v>79.212447652803803</c:v>
                </c:pt>
                <c:pt idx="63">
                  <c:v>79.339924891888174</c:v>
                </c:pt>
                <c:pt idx="64">
                  <c:v>79.463777604212027</c:v>
                </c:pt>
                <c:pt idx="65">
                  <c:v>79.584156701352626</c:v>
                </c:pt>
                <c:pt idx="66">
                  <c:v>79.701204831805214</c:v>
                </c:pt>
                <c:pt idx="67">
                  <c:v>79.815056938896618</c:v>
                </c:pt>
                <c:pt idx="68">
                  <c:v>79.925840774097523</c:v>
                </c:pt>
                <c:pt idx="69">
                  <c:v>80.033677369838827</c:v>
                </c:pt>
                <c:pt idx="70">
                  <c:v>80.138681475510339</c:v>
                </c:pt>
                <c:pt idx="71">
                  <c:v>80.240961959944286</c:v>
                </c:pt>
                <c:pt idx="72">
                  <c:v>80.340622183351101</c:v>
                </c:pt>
                <c:pt idx="73">
                  <c:v>80.437760341378464</c:v>
                </c:pt>
                <c:pt idx="74">
                  <c:v>80.532469783701558</c:v>
                </c:pt>
                <c:pt idx="75">
                  <c:v>80.624839309316712</c:v>
                </c:pt>
                <c:pt idx="76">
                  <c:v>80.714953440502498</c:v>
                </c:pt>
                <c:pt idx="77">
                  <c:v>80.802892677224506</c:v>
                </c:pt>
                <c:pt idx="78">
                  <c:v>80.888733733593298</c:v>
                </c:pt>
                <c:pt idx="79">
                  <c:v>80.972549757835807</c:v>
                </c:pt>
                <c:pt idx="80">
                  <c:v>81.05441053710534</c:v>
                </c:pt>
                <c:pt idx="81">
                  <c:v>81.134382688335847</c:v>
                </c:pt>
                <c:pt idx="82">
                  <c:v>81.21252983623738</c:v>
                </c:pt>
                <c:pt idx="83">
                  <c:v>81.28891277943211</c:v>
                </c:pt>
                <c:pt idx="84">
                  <c:v>81.363589645642762</c:v>
                </c:pt>
                <c:pt idx="85">
                  <c:v>81.436616036766111</c:v>
                </c:pt>
                <c:pt idx="86">
                  <c:v>81.508045164591934</c:v>
                </c:pt>
                <c:pt idx="87">
                  <c:v>81.577927977864391</c:v>
                </c:pt>
                <c:pt idx="88">
                  <c:v>81.646313281322563</c:v>
                </c:pt>
                <c:pt idx="89">
                  <c:v>81.713247847305411</c:v>
                </c:pt>
                <c:pt idx="90">
                  <c:v>81.778776520457001</c:v>
                </c:pt>
                <c:pt idx="91">
                  <c:v>81.84294231602469</c:v>
                </c:pt>
                <c:pt idx="92">
                  <c:v>81.905786512203065</c:v>
                </c:pt>
                <c:pt idx="93">
                  <c:v>81.967348736940281</c:v>
                </c:pt>
                <c:pt idx="94">
                  <c:v>82.027667049590207</c:v>
                </c:pt>
                <c:pt idx="95">
                  <c:v>82.086778017764033</c:v>
                </c:pt>
                <c:pt idx="96">
                  <c:v>82.144716789707488</c:v>
                </c:pt>
                <c:pt idx="97">
                  <c:v>82.201517162504544</c:v>
                </c:pt>
                <c:pt idx="98">
                  <c:v>82.257211646385713</c:v>
                </c:pt>
                <c:pt idx="99">
                  <c:v>82.311831525398077</c:v>
                </c:pt>
                <c:pt idx="100">
                  <c:v>82.365406914675049</c:v>
                </c:pt>
                <c:pt idx="101">
                  <c:v>82.417966814525982</c:v>
                </c:pt>
                <c:pt idx="102">
                  <c:v>82.469539161549861</c:v>
                </c:pt>
                <c:pt idx="103">
                  <c:v>82.52015087696229</c:v>
                </c:pt>
                <c:pt idx="104">
                  <c:v>82.569827912311439</c:v>
                </c:pt>
                <c:pt idx="105">
                  <c:v>82.618595292746193</c:v>
                </c:pt>
                <c:pt idx="106">
                  <c:v>82.66647715798797</c:v>
                </c:pt>
                <c:pt idx="107">
                  <c:v>82.713496801146903</c:v>
                </c:pt>
                <c:pt idx="108">
                  <c:v>82.759676705514053</c:v>
                </c:pt>
                <c:pt idx="109">
                  <c:v>82.805038579451377</c:v>
                </c:pt>
                <c:pt idx="110">
                  <c:v>82.849603389493126</c:v>
                </c:pt>
                <c:pt idx="111">
                  <c:v>82.893391391765107</c:v>
                </c:pt>
                <c:pt idx="112">
                  <c:v>82.936422161820303</c:v>
                </c:pt>
                <c:pt idx="113">
                  <c:v>82.978714622983517</c:v>
                </c:pt>
                <c:pt idx="114">
                  <c:v>83.020287073291087</c:v>
                </c:pt>
                <c:pt idx="115">
                  <c:v>83.061157211106121</c:v>
                </c:pt>
                <c:pt idx="116">
                  <c:v>83.101342159485</c:v>
                </c:pt>
                <c:pt idx="117">
                  <c:v>83.140858489365257</c:v>
                </c:pt>
                <c:pt idx="118">
                  <c:v>83.179722241640732</c:v>
                </c:pt>
                <c:pt idx="119">
                  <c:v>83.217948948186333</c:v>
                </c:pt>
                <c:pt idx="120">
                  <c:v>83.255553651889599</c:v>
                </c:pt>
                <c:pt idx="121">
                  <c:v>83.29255092574391</c:v>
                </c:pt>
                <c:pt idx="122">
                  <c:v>83.328954891053769</c:v>
                </c:pt>
                <c:pt idx="123">
                  <c:v>83.364779234800409</c:v>
                </c:pt>
                <c:pt idx="124">
                  <c:v>83.400037226212305</c:v>
                </c:pt>
                <c:pt idx="125">
                  <c:v>83.434741732582566</c:v>
                </c:pt>
                <c:pt idx="126">
                  <c:v>83.468905234373423</c:v>
                </c:pt>
                <c:pt idx="127">
                  <c:v>83.502539839644342</c:v>
                </c:pt>
                <c:pt idx="128">
                  <c:v>83.535657297839293</c:v>
                </c:pt>
                <c:pt idx="129">
                  <c:v>83.568269012965985</c:v>
                </c:pt>
                <c:pt idx="130">
                  <c:v>83.600386056198104</c:v>
                </c:pt>
                <c:pt idx="131">
                  <c:v>83.632019177929834</c:v>
                </c:pt>
                <c:pt idx="132">
                  <c:v>83.663178819310318</c:v>
                </c:pt>
                <c:pt idx="133">
                  <c:v>83.693875123283817</c:v>
                </c:pt>
                <c:pt idx="134">
                  <c:v>83.724117945160415</c:v>
                </c:pt>
                <c:pt idx="135">
                  <c:v>83.753916862740169</c:v>
                </c:pt>
                <c:pt idx="136">
                  <c:v>83.78328118601263</c:v>
                </c:pt>
                <c:pt idx="137">
                  <c:v>83.812219966452332</c:v>
                </c:pt>
                <c:pt idx="138">
                  <c:v>83.840742005929869</c:v>
                </c:pt>
                <c:pt idx="139">
                  <c:v>83.868855865256847</c:v>
                </c:pt>
                <c:pt idx="140">
                  <c:v>83.896569872382159</c:v>
                </c:pt>
                <c:pt idx="141">
                  <c:v>83.923892130256149</c:v>
                </c:pt>
                <c:pt idx="142">
                  <c:v>83.950830524378233</c:v>
                </c:pt>
                <c:pt idx="143">
                  <c:v>83.977392730042581</c:v>
                </c:pt>
                <c:pt idx="144">
                  <c:v>84.003586219296196</c:v>
                </c:pt>
                <c:pt idx="145">
                  <c:v>84.02941826762229</c:v>
                </c:pt>
                <c:pt idx="146">
                  <c:v>84.054895960361691</c:v>
                </c:pt>
                <c:pt idx="147">
                  <c:v>84.080026198884113</c:v>
                </c:pt>
                <c:pt idx="148">
                  <c:v>84.104815706520824</c:v>
                </c:pt>
                <c:pt idx="149">
                  <c:v>84.129271034268825</c:v>
                </c:pt>
                <c:pt idx="150">
                  <c:v>84.153398566277517</c:v>
                </c:pt>
              </c:numCache>
            </c:numRef>
          </c:yVal>
          <c:smooth val="0"/>
          <c:extLst>
            <c:ext xmlns:c16="http://schemas.microsoft.com/office/drawing/2014/chart" uri="{C3380CC4-5D6E-409C-BE32-E72D297353CC}">
              <c16:uniqueId val="{00000000-ED55-4090-9A4A-DCF1DA6E3B25}"/>
            </c:ext>
          </c:extLst>
        </c:ser>
        <c:dLbls>
          <c:showLegendKey val="0"/>
          <c:showVal val="0"/>
          <c:showCatName val="0"/>
          <c:showSerName val="0"/>
          <c:showPercent val="0"/>
          <c:showBubbleSize val="0"/>
        </c:dLbls>
        <c:axId val="174861312"/>
        <c:axId val="174875392"/>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Eff_vs_IOUT!$AI$7:$AI$157</c:f>
              <c:numCache>
                <c:formatCode>General</c:formatCode>
                <c:ptCount val="151"/>
                <c:pt idx="0">
                  <c:v>0</c:v>
                </c:pt>
                <c:pt idx="1">
                  <c:v>8.160603408314436E-2</c:v>
                </c:pt>
                <c:pt idx="2">
                  <c:v>0.16349542805048461</c:v>
                </c:pt>
                <c:pt idx="3">
                  <c:v>0.24563470427846668</c:v>
                </c:pt>
                <c:pt idx="4">
                  <c:v>0.32801757847094926</c:v>
                </c:pt>
                <c:pt idx="5">
                  <c:v>0.41064341880503896</c:v>
                </c:pt>
                <c:pt idx="6">
                  <c:v>0.49351385433277462</c:v>
                </c:pt>
                <c:pt idx="7">
                  <c:v>0.57663162493984954</c:v>
                </c:pt>
                <c:pt idx="8">
                  <c:v>0.66000007808432992</c:v>
                </c:pt>
                <c:pt idx="9">
                  <c:v>0.74362291441085415</c:v>
                </c:pt>
                <c:pt idx="10">
                  <c:v>0.82750404649670029</c:v>
                </c:pt>
                <c:pt idx="11">
                  <c:v>0.91164751507946307</c:v>
                </c:pt>
                <c:pt idx="12">
                  <c:v>0.99605743692972992</c:v>
                </c:pt>
                <c:pt idx="13">
                  <c:v>1.0605712261151197</c:v>
                </c:pt>
                <c:pt idx="14">
                  <c:v>1.1420972369576106</c:v>
                </c:pt>
                <c:pt idx="15">
                  <c:v>1.2236343727383732</c:v>
                </c:pt>
                <c:pt idx="16">
                  <c:v>1.305182633457407</c:v>
                </c:pt>
                <c:pt idx="17">
                  <c:v>1.3867420191147124</c:v>
                </c:pt>
                <c:pt idx="18">
                  <c:v>1.4683125297102897</c:v>
                </c:pt>
                <c:pt idx="19">
                  <c:v>1.5498941652441389</c:v>
                </c:pt>
                <c:pt idx="20">
                  <c:v>1.631486925716259</c:v>
                </c:pt>
                <c:pt idx="21">
                  <c:v>1.7130908111266514</c:v>
                </c:pt>
                <c:pt idx="22">
                  <c:v>1.7947058214753151</c:v>
                </c:pt>
                <c:pt idx="23">
                  <c:v>1.8763319567622507</c:v>
                </c:pt>
                <c:pt idx="24">
                  <c:v>1.9579692169874572</c:v>
                </c:pt>
                <c:pt idx="25">
                  <c:v>2.0396176021509356</c:v>
                </c:pt>
                <c:pt idx="26">
                  <c:v>2.1212771122526859</c:v>
                </c:pt>
                <c:pt idx="27">
                  <c:v>2.2029477472927081</c:v>
                </c:pt>
                <c:pt idx="28">
                  <c:v>2.284629507271001</c:v>
                </c:pt>
                <c:pt idx="29">
                  <c:v>2.3663223921875662</c:v>
                </c:pt>
                <c:pt idx="30">
                  <c:v>2.448026402042403</c:v>
                </c:pt>
                <c:pt idx="31">
                  <c:v>2.5297415368355112</c:v>
                </c:pt>
                <c:pt idx="32">
                  <c:v>2.6114677965668904</c:v>
                </c:pt>
                <c:pt idx="33">
                  <c:v>2.6932051812365416</c:v>
                </c:pt>
                <c:pt idx="34">
                  <c:v>2.7749536908444643</c:v>
                </c:pt>
                <c:pt idx="35">
                  <c:v>2.8567133253906589</c:v>
                </c:pt>
                <c:pt idx="36">
                  <c:v>2.938484084875125</c:v>
                </c:pt>
                <c:pt idx="37">
                  <c:v>3.0202659692978626</c:v>
                </c:pt>
                <c:pt idx="38">
                  <c:v>3.1020589786588726</c:v>
                </c:pt>
                <c:pt idx="39">
                  <c:v>3.1838631129581536</c:v>
                </c:pt>
                <c:pt idx="40">
                  <c:v>3.2656783721957057</c:v>
                </c:pt>
                <c:pt idx="41">
                  <c:v>3.3475047563715306</c:v>
                </c:pt>
                <c:pt idx="42">
                  <c:v>3.429342265485626</c:v>
                </c:pt>
                <c:pt idx="43">
                  <c:v>3.511190899537993</c:v>
                </c:pt>
                <c:pt idx="44">
                  <c:v>3.5930506585286324</c:v>
                </c:pt>
                <c:pt idx="45">
                  <c:v>3.6749215424575437</c:v>
                </c:pt>
                <c:pt idx="46">
                  <c:v>3.756803551324726</c:v>
                </c:pt>
                <c:pt idx="47">
                  <c:v>3.8386966851301789</c:v>
                </c:pt>
                <c:pt idx="48">
                  <c:v>3.9206009438739042</c:v>
                </c:pt>
                <c:pt idx="49">
                  <c:v>4.0025163275559015</c:v>
                </c:pt>
                <c:pt idx="50">
                  <c:v>4.0844428361761702</c:v>
                </c:pt>
                <c:pt idx="51">
                  <c:v>4.16638046973471</c:v>
                </c:pt>
                <c:pt idx="52">
                  <c:v>4.2483292282315226</c:v>
                </c:pt>
                <c:pt idx="53">
                  <c:v>4.3302891116666062</c:v>
                </c:pt>
                <c:pt idx="54">
                  <c:v>4.4122601200399618</c:v>
                </c:pt>
                <c:pt idx="55">
                  <c:v>4.4942422533515884</c:v>
                </c:pt>
                <c:pt idx="56">
                  <c:v>4.5762355116014861</c:v>
                </c:pt>
                <c:pt idx="57">
                  <c:v>4.6582398947896548</c:v>
                </c:pt>
                <c:pt idx="58">
                  <c:v>4.7402554029160981</c:v>
                </c:pt>
                <c:pt idx="59">
                  <c:v>4.8222820359808107</c:v>
                </c:pt>
                <c:pt idx="60">
                  <c:v>4.9043197939837953</c:v>
                </c:pt>
                <c:pt idx="61">
                  <c:v>4.9863686769250517</c:v>
                </c:pt>
                <c:pt idx="62">
                  <c:v>5.0684286848045801</c:v>
                </c:pt>
                <c:pt idx="63">
                  <c:v>5.1504998176223795</c:v>
                </c:pt>
                <c:pt idx="64">
                  <c:v>5.2325820753784491</c:v>
                </c:pt>
                <c:pt idx="65">
                  <c:v>5.3146754580727933</c:v>
                </c:pt>
                <c:pt idx="66">
                  <c:v>5.3967799657054059</c:v>
                </c:pt>
                <c:pt idx="67">
                  <c:v>5.478895598276293</c:v>
                </c:pt>
                <c:pt idx="68">
                  <c:v>5.5610223557854495</c:v>
                </c:pt>
                <c:pt idx="69">
                  <c:v>5.6431602382328787</c:v>
                </c:pt>
                <c:pt idx="70">
                  <c:v>5.7253092456185799</c:v>
                </c:pt>
                <c:pt idx="71">
                  <c:v>5.8074693779425521</c:v>
                </c:pt>
                <c:pt idx="72">
                  <c:v>5.8896406352047954</c:v>
                </c:pt>
                <c:pt idx="73">
                  <c:v>5.9718230174053106</c:v>
                </c:pt>
                <c:pt idx="74">
                  <c:v>6.0540165245440978</c:v>
                </c:pt>
                <c:pt idx="75">
                  <c:v>6.1362211566211569</c:v>
                </c:pt>
                <c:pt idx="76">
                  <c:v>6.2184369136364888</c:v>
                </c:pt>
                <c:pt idx="77">
                  <c:v>6.3006637955900899</c:v>
                </c:pt>
                <c:pt idx="78">
                  <c:v>6.3829018024819639</c:v>
                </c:pt>
                <c:pt idx="79">
                  <c:v>6.465150934312109</c:v>
                </c:pt>
                <c:pt idx="80">
                  <c:v>6.5474111910805242</c:v>
                </c:pt>
                <c:pt idx="81">
                  <c:v>6.629682572787214</c:v>
                </c:pt>
                <c:pt idx="82">
                  <c:v>6.7119650794321739</c:v>
                </c:pt>
                <c:pt idx="83">
                  <c:v>6.7942587110154058</c:v>
                </c:pt>
                <c:pt idx="84">
                  <c:v>6.8765634675369087</c:v>
                </c:pt>
                <c:pt idx="85">
                  <c:v>6.9588793489966827</c:v>
                </c:pt>
                <c:pt idx="86">
                  <c:v>7.0412063553947295</c:v>
                </c:pt>
                <c:pt idx="87">
                  <c:v>7.1235444867310482</c:v>
                </c:pt>
                <c:pt idx="88">
                  <c:v>7.2058937430056371</c:v>
                </c:pt>
                <c:pt idx="89">
                  <c:v>7.2882541242184988</c:v>
                </c:pt>
                <c:pt idx="90">
                  <c:v>7.3706256303696334</c:v>
                </c:pt>
                <c:pt idx="91">
                  <c:v>7.4530082614590354</c:v>
                </c:pt>
                <c:pt idx="92">
                  <c:v>7.5354020174867129</c:v>
                </c:pt>
                <c:pt idx="93">
                  <c:v>7.6178068984526588</c:v>
                </c:pt>
                <c:pt idx="94">
                  <c:v>7.7002229043568784</c:v>
                </c:pt>
                <c:pt idx="95">
                  <c:v>7.7826500351993708</c:v>
                </c:pt>
                <c:pt idx="96">
                  <c:v>7.8650882909801316</c:v>
                </c:pt>
                <c:pt idx="97">
                  <c:v>7.9475376716991661</c:v>
                </c:pt>
                <c:pt idx="98">
                  <c:v>8.0299981773564717</c:v>
                </c:pt>
                <c:pt idx="99">
                  <c:v>8.1124698079520492</c:v>
                </c:pt>
                <c:pt idx="100">
                  <c:v>8.1949525634858986</c:v>
                </c:pt>
                <c:pt idx="101">
                  <c:v>8.2774464439580182</c:v>
                </c:pt>
                <c:pt idx="102">
                  <c:v>8.3599514493684097</c:v>
                </c:pt>
                <c:pt idx="103">
                  <c:v>8.442467579717075</c:v>
                </c:pt>
                <c:pt idx="104">
                  <c:v>8.5249948350040103</c:v>
                </c:pt>
                <c:pt idx="105">
                  <c:v>8.6075332152292159</c:v>
                </c:pt>
                <c:pt idx="106">
                  <c:v>8.6900827203926951</c:v>
                </c:pt>
                <c:pt idx="107">
                  <c:v>8.7726433504944428</c:v>
                </c:pt>
                <c:pt idx="108">
                  <c:v>8.8552151055344694</c:v>
                </c:pt>
                <c:pt idx="109">
                  <c:v>8.9377979855127592</c:v>
                </c:pt>
                <c:pt idx="110">
                  <c:v>9.0203919904293262</c:v>
                </c:pt>
                <c:pt idx="111">
                  <c:v>9.1029971202841615</c:v>
                </c:pt>
                <c:pt idx="112">
                  <c:v>9.1856133750772706</c:v>
                </c:pt>
                <c:pt idx="113">
                  <c:v>9.2682407548086481</c:v>
                </c:pt>
                <c:pt idx="114">
                  <c:v>9.3508792594782992</c:v>
                </c:pt>
                <c:pt idx="115">
                  <c:v>9.4335288890862241</c:v>
                </c:pt>
                <c:pt idx="116">
                  <c:v>9.5161896436324209</c:v>
                </c:pt>
                <c:pt idx="117">
                  <c:v>9.5988615231168843</c:v>
                </c:pt>
                <c:pt idx="118">
                  <c:v>9.6815445275396232</c:v>
                </c:pt>
                <c:pt idx="119">
                  <c:v>9.7642386569006323</c:v>
                </c:pt>
                <c:pt idx="120">
                  <c:v>9.8469439111999133</c:v>
                </c:pt>
                <c:pt idx="121">
                  <c:v>9.9296602904374645</c:v>
                </c:pt>
                <c:pt idx="122">
                  <c:v>10.012387794613291</c:v>
                </c:pt>
                <c:pt idx="123">
                  <c:v>10.095126423727384</c:v>
                </c:pt>
                <c:pt idx="124">
                  <c:v>10.177876177779755</c:v>
                </c:pt>
                <c:pt idx="125">
                  <c:v>10.26063705677039</c:v>
                </c:pt>
                <c:pt idx="126">
                  <c:v>10.343409060699305</c:v>
                </c:pt>
                <c:pt idx="127">
                  <c:v>10.426192189566482</c:v>
                </c:pt>
                <c:pt idx="128">
                  <c:v>10.508986443371938</c:v>
                </c:pt>
                <c:pt idx="129">
                  <c:v>10.591791822115665</c:v>
                </c:pt>
                <c:pt idx="130">
                  <c:v>10.674608325797662</c:v>
                </c:pt>
                <c:pt idx="131">
                  <c:v>10.757435954417931</c:v>
                </c:pt>
                <c:pt idx="132">
                  <c:v>10.840274707976469</c:v>
                </c:pt>
                <c:pt idx="133">
                  <c:v>10.923124586473282</c:v>
                </c:pt>
                <c:pt idx="134">
                  <c:v>11.005985589908365</c:v>
                </c:pt>
                <c:pt idx="135">
                  <c:v>11.088857718281719</c:v>
                </c:pt>
                <c:pt idx="136">
                  <c:v>11.171740971593346</c:v>
                </c:pt>
                <c:pt idx="137">
                  <c:v>11.254635349843245</c:v>
                </c:pt>
                <c:pt idx="138">
                  <c:v>11.337540853031415</c:v>
                </c:pt>
                <c:pt idx="139">
                  <c:v>11.420457481157857</c:v>
                </c:pt>
                <c:pt idx="140">
                  <c:v>11.503385234222568</c:v>
                </c:pt>
                <c:pt idx="141">
                  <c:v>11.586324112225554</c:v>
                </c:pt>
                <c:pt idx="142">
                  <c:v>11.669274115166809</c:v>
                </c:pt>
                <c:pt idx="143">
                  <c:v>11.752235243046339</c:v>
                </c:pt>
                <c:pt idx="144">
                  <c:v>11.835207495864136</c:v>
                </c:pt>
                <c:pt idx="145">
                  <c:v>11.91819087362021</c:v>
                </c:pt>
                <c:pt idx="146">
                  <c:v>12.001185376314551</c:v>
                </c:pt>
                <c:pt idx="147">
                  <c:v>12.084191003947168</c:v>
                </c:pt>
                <c:pt idx="148">
                  <c:v>12.167207756518049</c:v>
                </c:pt>
                <c:pt idx="149">
                  <c:v>12.250235634027211</c:v>
                </c:pt>
                <c:pt idx="150">
                  <c:v>12.333274636474636</c:v>
                </c:pt>
              </c:numCache>
            </c:numRef>
          </c:yVal>
          <c:smooth val="1"/>
          <c:extLst>
            <c:ext xmlns:c16="http://schemas.microsoft.com/office/drawing/2014/chart" uri="{C3380CC4-5D6E-409C-BE32-E72D297353CC}">
              <c16:uniqueId val="{00000001-ED55-4090-9A4A-DCF1DA6E3B25}"/>
            </c:ext>
          </c:extLst>
        </c:ser>
        <c:ser>
          <c:idx val="2"/>
          <c:order val="2"/>
          <c:tx>
            <c:v>Diode</c:v>
          </c:tx>
          <c:spPr>
            <a:ln>
              <a:solidFill>
                <a:schemeClr val="bg2">
                  <a:lumMod val="50000"/>
                </a:schemeClr>
              </a:solidFill>
              <a:prstDash val="sysDash"/>
            </a:ln>
          </c:spPr>
          <c:marker>
            <c:symbol val="none"/>
          </c:marker>
          <c:xVal>
            <c:numRef>
              <c:f>Eff_vs_IOUT!$S$8:$S$157</c:f>
              <c:numCache>
                <c:formatCode>General</c:formatCode>
                <c:ptCount val="150"/>
                <c:pt idx="0">
                  <c:v>5.3333333333333337E-2</c:v>
                </c:pt>
                <c:pt idx="1">
                  <c:v>0.10666666666666667</c:v>
                </c:pt>
                <c:pt idx="2">
                  <c:v>0.16</c:v>
                </c:pt>
                <c:pt idx="3">
                  <c:v>0.21333333333333335</c:v>
                </c:pt>
                <c:pt idx="4">
                  <c:v>0.26666666666666666</c:v>
                </c:pt>
                <c:pt idx="5">
                  <c:v>0.32</c:v>
                </c:pt>
                <c:pt idx="6">
                  <c:v>0.37333333333333335</c:v>
                </c:pt>
                <c:pt idx="7">
                  <c:v>0.42666666666666669</c:v>
                </c:pt>
                <c:pt idx="8">
                  <c:v>0.48000000000000004</c:v>
                </c:pt>
                <c:pt idx="9">
                  <c:v>0.53333333333333333</c:v>
                </c:pt>
                <c:pt idx="10">
                  <c:v>0.58666666666666667</c:v>
                </c:pt>
                <c:pt idx="11">
                  <c:v>0.64</c:v>
                </c:pt>
                <c:pt idx="12">
                  <c:v>0.69333333333333336</c:v>
                </c:pt>
                <c:pt idx="13">
                  <c:v>0.7466666666666667</c:v>
                </c:pt>
                <c:pt idx="14">
                  <c:v>0.8</c:v>
                </c:pt>
                <c:pt idx="15">
                  <c:v>0.85333333333333339</c:v>
                </c:pt>
                <c:pt idx="16">
                  <c:v>0.90666666666666673</c:v>
                </c:pt>
                <c:pt idx="17">
                  <c:v>0.96000000000000008</c:v>
                </c:pt>
                <c:pt idx="18">
                  <c:v>1.0133333333333334</c:v>
                </c:pt>
                <c:pt idx="19">
                  <c:v>1.0666666666666667</c:v>
                </c:pt>
                <c:pt idx="20">
                  <c:v>1.1200000000000001</c:v>
                </c:pt>
                <c:pt idx="21">
                  <c:v>1.1733333333333333</c:v>
                </c:pt>
                <c:pt idx="22">
                  <c:v>1.2266666666666668</c:v>
                </c:pt>
                <c:pt idx="23">
                  <c:v>1.28</c:v>
                </c:pt>
                <c:pt idx="24">
                  <c:v>1.3333333333333335</c:v>
                </c:pt>
                <c:pt idx="25">
                  <c:v>1.3866666666666667</c:v>
                </c:pt>
                <c:pt idx="26">
                  <c:v>1.4400000000000002</c:v>
                </c:pt>
                <c:pt idx="27">
                  <c:v>1.4933333333333334</c:v>
                </c:pt>
                <c:pt idx="28">
                  <c:v>1.5466666666666669</c:v>
                </c:pt>
                <c:pt idx="29">
                  <c:v>1.6</c:v>
                </c:pt>
                <c:pt idx="30">
                  <c:v>1.6533333333333335</c:v>
                </c:pt>
                <c:pt idx="31">
                  <c:v>1.7066666666666668</c:v>
                </c:pt>
                <c:pt idx="32">
                  <c:v>1.76</c:v>
                </c:pt>
                <c:pt idx="33">
                  <c:v>1.8133333333333335</c:v>
                </c:pt>
                <c:pt idx="34">
                  <c:v>1.8666666666666667</c:v>
                </c:pt>
                <c:pt idx="35">
                  <c:v>1.9200000000000002</c:v>
                </c:pt>
                <c:pt idx="36">
                  <c:v>1.9733333333333334</c:v>
                </c:pt>
                <c:pt idx="37">
                  <c:v>2.0266666666666668</c:v>
                </c:pt>
                <c:pt idx="38">
                  <c:v>2.08</c:v>
                </c:pt>
                <c:pt idx="39">
                  <c:v>2.1333333333333333</c:v>
                </c:pt>
                <c:pt idx="40">
                  <c:v>2.186666666666667</c:v>
                </c:pt>
                <c:pt idx="41">
                  <c:v>2.2400000000000002</c:v>
                </c:pt>
                <c:pt idx="42">
                  <c:v>2.2933333333333334</c:v>
                </c:pt>
                <c:pt idx="43">
                  <c:v>2.3466666666666667</c:v>
                </c:pt>
                <c:pt idx="44">
                  <c:v>2.4000000000000004</c:v>
                </c:pt>
                <c:pt idx="45">
                  <c:v>2.4533333333333336</c:v>
                </c:pt>
                <c:pt idx="46">
                  <c:v>2.5066666666666668</c:v>
                </c:pt>
                <c:pt idx="47">
                  <c:v>2.56</c:v>
                </c:pt>
                <c:pt idx="48">
                  <c:v>2.6133333333333333</c:v>
                </c:pt>
                <c:pt idx="49">
                  <c:v>2.666666666666667</c:v>
                </c:pt>
                <c:pt idx="50">
                  <c:v>2.72</c:v>
                </c:pt>
                <c:pt idx="51">
                  <c:v>2.7733333333333334</c:v>
                </c:pt>
                <c:pt idx="52">
                  <c:v>2.8266666666666667</c:v>
                </c:pt>
                <c:pt idx="53">
                  <c:v>2.8800000000000003</c:v>
                </c:pt>
                <c:pt idx="54">
                  <c:v>2.9333333333333336</c:v>
                </c:pt>
                <c:pt idx="55">
                  <c:v>2.9866666666666668</c:v>
                </c:pt>
                <c:pt idx="56">
                  <c:v>3.04</c:v>
                </c:pt>
                <c:pt idx="57">
                  <c:v>3.0933333333333337</c:v>
                </c:pt>
                <c:pt idx="58">
                  <c:v>3.1466666666666669</c:v>
                </c:pt>
                <c:pt idx="59">
                  <c:v>3.2</c:v>
                </c:pt>
                <c:pt idx="60">
                  <c:v>3.2533333333333334</c:v>
                </c:pt>
                <c:pt idx="61">
                  <c:v>3.3066666666666671</c:v>
                </c:pt>
                <c:pt idx="62">
                  <c:v>3.3600000000000003</c:v>
                </c:pt>
                <c:pt idx="63">
                  <c:v>3.4133333333333336</c:v>
                </c:pt>
                <c:pt idx="64">
                  <c:v>3.4666666666666668</c:v>
                </c:pt>
                <c:pt idx="65">
                  <c:v>3.52</c:v>
                </c:pt>
                <c:pt idx="66">
                  <c:v>3.5733333333333337</c:v>
                </c:pt>
                <c:pt idx="67">
                  <c:v>3.6266666666666669</c:v>
                </c:pt>
                <c:pt idx="68">
                  <c:v>3.68</c:v>
                </c:pt>
                <c:pt idx="69">
                  <c:v>3.7333333333333334</c:v>
                </c:pt>
                <c:pt idx="70">
                  <c:v>3.7866666666666671</c:v>
                </c:pt>
                <c:pt idx="71">
                  <c:v>3.8400000000000003</c:v>
                </c:pt>
                <c:pt idx="72">
                  <c:v>3.8933333333333335</c:v>
                </c:pt>
                <c:pt idx="73">
                  <c:v>3.9466666666666668</c:v>
                </c:pt>
                <c:pt idx="74">
                  <c:v>4</c:v>
                </c:pt>
                <c:pt idx="75">
                  <c:v>4.0533333333333337</c:v>
                </c:pt>
                <c:pt idx="76">
                  <c:v>4.1066666666666674</c:v>
                </c:pt>
                <c:pt idx="77">
                  <c:v>4.16</c:v>
                </c:pt>
                <c:pt idx="78">
                  <c:v>4.2133333333333338</c:v>
                </c:pt>
                <c:pt idx="79">
                  <c:v>4.2666666666666666</c:v>
                </c:pt>
                <c:pt idx="80">
                  <c:v>4.32</c:v>
                </c:pt>
                <c:pt idx="81">
                  <c:v>4.373333333333334</c:v>
                </c:pt>
                <c:pt idx="82">
                  <c:v>4.4266666666666667</c:v>
                </c:pt>
                <c:pt idx="83">
                  <c:v>4.4800000000000004</c:v>
                </c:pt>
                <c:pt idx="84">
                  <c:v>4.5333333333333332</c:v>
                </c:pt>
                <c:pt idx="85">
                  <c:v>4.5866666666666669</c:v>
                </c:pt>
                <c:pt idx="86">
                  <c:v>4.6400000000000006</c:v>
                </c:pt>
                <c:pt idx="87">
                  <c:v>4.6933333333333334</c:v>
                </c:pt>
                <c:pt idx="88">
                  <c:v>4.746666666666667</c:v>
                </c:pt>
                <c:pt idx="89">
                  <c:v>4.8000000000000007</c:v>
                </c:pt>
                <c:pt idx="90">
                  <c:v>4.8533333333333335</c:v>
                </c:pt>
                <c:pt idx="91">
                  <c:v>4.9066666666666672</c:v>
                </c:pt>
                <c:pt idx="92">
                  <c:v>4.96</c:v>
                </c:pt>
                <c:pt idx="93">
                  <c:v>5.0133333333333336</c:v>
                </c:pt>
                <c:pt idx="94">
                  <c:v>5.0666666666666673</c:v>
                </c:pt>
                <c:pt idx="95">
                  <c:v>5.12</c:v>
                </c:pt>
                <c:pt idx="96">
                  <c:v>5.1733333333333338</c:v>
                </c:pt>
                <c:pt idx="97">
                  <c:v>5.2266666666666666</c:v>
                </c:pt>
                <c:pt idx="98">
                  <c:v>5.28</c:v>
                </c:pt>
                <c:pt idx="99">
                  <c:v>5.3333333333333339</c:v>
                </c:pt>
                <c:pt idx="100">
                  <c:v>5.3866666666666667</c:v>
                </c:pt>
                <c:pt idx="101">
                  <c:v>5.44</c:v>
                </c:pt>
                <c:pt idx="102">
                  <c:v>5.4933333333333341</c:v>
                </c:pt>
                <c:pt idx="103">
                  <c:v>5.5466666666666669</c:v>
                </c:pt>
                <c:pt idx="104">
                  <c:v>5.6000000000000005</c:v>
                </c:pt>
                <c:pt idx="105">
                  <c:v>5.6533333333333333</c:v>
                </c:pt>
                <c:pt idx="106">
                  <c:v>5.706666666666667</c:v>
                </c:pt>
                <c:pt idx="107">
                  <c:v>5.7600000000000007</c:v>
                </c:pt>
                <c:pt idx="108">
                  <c:v>5.8133333333333335</c:v>
                </c:pt>
                <c:pt idx="109">
                  <c:v>5.8666666666666671</c:v>
                </c:pt>
                <c:pt idx="110">
                  <c:v>5.9200000000000008</c:v>
                </c:pt>
                <c:pt idx="111">
                  <c:v>5.9733333333333336</c:v>
                </c:pt>
                <c:pt idx="112">
                  <c:v>6.0266666666666673</c:v>
                </c:pt>
                <c:pt idx="113">
                  <c:v>6.08</c:v>
                </c:pt>
                <c:pt idx="114">
                  <c:v>6.1333333333333337</c:v>
                </c:pt>
                <c:pt idx="115">
                  <c:v>6.1866666666666674</c:v>
                </c:pt>
                <c:pt idx="116">
                  <c:v>6.24</c:v>
                </c:pt>
                <c:pt idx="117">
                  <c:v>6.2933333333333339</c:v>
                </c:pt>
                <c:pt idx="118">
                  <c:v>6.3466666666666667</c:v>
                </c:pt>
                <c:pt idx="119">
                  <c:v>6.4</c:v>
                </c:pt>
                <c:pt idx="120">
                  <c:v>6.453333333333334</c:v>
                </c:pt>
                <c:pt idx="121">
                  <c:v>6.5066666666666668</c:v>
                </c:pt>
                <c:pt idx="122">
                  <c:v>6.5600000000000005</c:v>
                </c:pt>
                <c:pt idx="123">
                  <c:v>6.6133333333333342</c:v>
                </c:pt>
                <c:pt idx="124">
                  <c:v>6.666666666666667</c:v>
                </c:pt>
                <c:pt idx="125">
                  <c:v>6.7200000000000006</c:v>
                </c:pt>
                <c:pt idx="126">
                  <c:v>6.7733333333333334</c:v>
                </c:pt>
                <c:pt idx="127">
                  <c:v>6.8266666666666671</c:v>
                </c:pt>
                <c:pt idx="128">
                  <c:v>6.8800000000000008</c:v>
                </c:pt>
                <c:pt idx="129">
                  <c:v>6.9333333333333336</c:v>
                </c:pt>
                <c:pt idx="130">
                  <c:v>6.9866666666666672</c:v>
                </c:pt>
                <c:pt idx="131">
                  <c:v>7.04</c:v>
                </c:pt>
                <c:pt idx="132">
                  <c:v>7.0933333333333337</c:v>
                </c:pt>
                <c:pt idx="133">
                  <c:v>7.1466666666666674</c:v>
                </c:pt>
                <c:pt idx="134">
                  <c:v>7.2</c:v>
                </c:pt>
                <c:pt idx="135">
                  <c:v>7.2533333333333339</c:v>
                </c:pt>
                <c:pt idx="136">
                  <c:v>7.3066666666666675</c:v>
                </c:pt>
                <c:pt idx="137">
                  <c:v>7.36</c:v>
                </c:pt>
                <c:pt idx="138">
                  <c:v>7.413333333333334</c:v>
                </c:pt>
                <c:pt idx="139">
                  <c:v>7.4666666666666668</c:v>
                </c:pt>
                <c:pt idx="140">
                  <c:v>7.5200000000000005</c:v>
                </c:pt>
                <c:pt idx="141">
                  <c:v>7.5733333333333341</c:v>
                </c:pt>
                <c:pt idx="142">
                  <c:v>7.6266666666666669</c:v>
                </c:pt>
                <c:pt idx="143">
                  <c:v>7.6800000000000006</c:v>
                </c:pt>
                <c:pt idx="144">
                  <c:v>7.7333333333333334</c:v>
                </c:pt>
                <c:pt idx="145">
                  <c:v>7.7866666666666671</c:v>
                </c:pt>
                <c:pt idx="146">
                  <c:v>7.8400000000000007</c:v>
                </c:pt>
                <c:pt idx="147">
                  <c:v>7.8933333333333335</c:v>
                </c:pt>
                <c:pt idx="148">
                  <c:v>7.9466666666666672</c:v>
                </c:pt>
                <c:pt idx="149">
                  <c:v>8</c:v>
                </c:pt>
              </c:numCache>
            </c:numRef>
          </c:xVal>
          <c:yVal>
            <c:numRef>
              <c:f>Eff_vs_IOUT!$AN$8:$AN$157</c:f>
              <c:numCache>
                <c:formatCode>General</c:formatCode>
                <c:ptCount val="150"/>
                <c:pt idx="0">
                  <c:v>4.8138666666666667</c:v>
                </c:pt>
                <c:pt idx="1">
                  <c:v>4.8173333333333339</c:v>
                </c:pt>
                <c:pt idx="2">
                  <c:v>4.8208000000000002</c:v>
                </c:pt>
                <c:pt idx="3">
                  <c:v>4.8242666666666674</c:v>
                </c:pt>
                <c:pt idx="4">
                  <c:v>4.8277333333333337</c:v>
                </c:pt>
                <c:pt idx="5">
                  <c:v>4.8312000000000008</c:v>
                </c:pt>
                <c:pt idx="6">
                  <c:v>4.8346666666666671</c:v>
                </c:pt>
                <c:pt idx="7">
                  <c:v>4.8381333333333334</c:v>
                </c:pt>
                <c:pt idx="8">
                  <c:v>4.8416000000000006</c:v>
                </c:pt>
                <c:pt idx="9">
                  <c:v>4.8450666666666669</c:v>
                </c:pt>
                <c:pt idx="10">
                  <c:v>4.848533333333334</c:v>
                </c:pt>
                <c:pt idx="11">
                  <c:v>4.8520000000000003</c:v>
                </c:pt>
                <c:pt idx="12">
                  <c:v>4.8554666666666675</c:v>
                </c:pt>
                <c:pt idx="13">
                  <c:v>4.8589333333333338</c:v>
                </c:pt>
                <c:pt idx="14">
                  <c:v>4.8624000000000001</c:v>
                </c:pt>
                <c:pt idx="15">
                  <c:v>4.8658666666666672</c:v>
                </c:pt>
                <c:pt idx="16">
                  <c:v>4.8693333333333335</c:v>
                </c:pt>
                <c:pt idx="17">
                  <c:v>4.8728000000000007</c:v>
                </c:pt>
                <c:pt idx="18">
                  <c:v>4.876266666666667</c:v>
                </c:pt>
                <c:pt idx="19">
                  <c:v>4.8797333333333341</c:v>
                </c:pt>
                <c:pt idx="20">
                  <c:v>4.8832000000000004</c:v>
                </c:pt>
                <c:pt idx="21">
                  <c:v>4.8866666666666667</c:v>
                </c:pt>
                <c:pt idx="22">
                  <c:v>4.8901333333333339</c:v>
                </c:pt>
                <c:pt idx="23">
                  <c:v>4.8936000000000002</c:v>
                </c:pt>
                <c:pt idx="24">
                  <c:v>4.8970666666666673</c:v>
                </c:pt>
                <c:pt idx="25">
                  <c:v>4.9005333333333336</c:v>
                </c:pt>
                <c:pt idx="26">
                  <c:v>4.9040000000000008</c:v>
                </c:pt>
                <c:pt idx="27">
                  <c:v>4.9074666666666671</c:v>
                </c:pt>
                <c:pt idx="28">
                  <c:v>4.9109333333333334</c:v>
                </c:pt>
                <c:pt idx="29">
                  <c:v>4.9144000000000005</c:v>
                </c:pt>
                <c:pt idx="30">
                  <c:v>4.9178666666666668</c:v>
                </c:pt>
                <c:pt idx="31">
                  <c:v>4.921333333333334</c:v>
                </c:pt>
                <c:pt idx="32">
                  <c:v>4.9248000000000003</c:v>
                </c:pt>
                <c:pt idx="33">
                  <c:v>4.9282666666666675</c:v>
                </c:pt>
                <c:pt idx="34">
                  <c:v>4.9317333333333337</c:v>
                </c:pt>
                <c:pt idx="35">
                  <c:v>4.9352</c:v>
                </c:pt>
                <c:pt idx="36">
                  <c:v>4.9386666666666672</c:v>
                </c:pt>
                <c:pt idx="37">
                  <c:v>4.9421333333333335</c:v>
                </c:pt>
                <c:pt idx="38">
                  <c:v>4.9456000000000007</c:v>
                </c:pt>
                <c:pt idx="39">
                  <c:v>4.9490666666666669</c:v>
                </c:pt>
                <c:pt idx="40">
                  <c:v>4.9525333333333341</c:v>
                </c:pt>
                <c:pt idx="41">
                  <c:v>4.9560000000000004</c:v>
                </c:pt>
                <c:pt idx="42">
                  <c:v>4.9594666666666676</c:v>
                </c:pt>
                <c:pt idx="43">
                  <c:v>4.9629333333333339</c:v>
                </c:pt>
                <c:pt idx="44">
                  <c:v>4.9664000000000001</c:v>
                </c:pt>
                <c:pt idx="45">
                  <c:v>4.9698666666666673</c:v>
                </c:pt>
                <c:pt idx="46">
                  <c:v>4.9733333333333336</c:v>
                </c:pt>
                <c:pt idx="47">
                  <c:v>4.9768000000000008</c:v>
                </c:pt>
                <c:pt idx="48">
                  <c:v>4.9802666666666671</c:v>
                </c:pt>
                <c:pt idx="49">
                  <c:v>4.9837333333333342</c:v>
                </c:pt>
                <c:pt idx="50">
                  <c:v>4.9872000000000005</c:v>
                </c:pt>
                <c:pt idx="51">
                  <c:v>4.9906666666666668</c:v>
                </c:pt>
                <c:pt idx="52">
                  <c:v>4.994133333333334</c:v>
                </c:pt>
                <c:pt idx="53">
                  <c:v>4.9976000000000003</c:v>
                </c:pt>
                <c:pt idx="54">
                  <c:v>5.0010666666666674</c:v>
                </c:pt>
                <c:pt idx="55">
                  <c:v>5.0045333333333337</c:v>
                </c:pt>
                <c:pt idx="56">
                  <c:v>5.0080000000000009</c:v>
                </c:pt>
                <c:pt idx="57">
                  <c:v>5.0114666666666672</c:v>
                </c:pt>
                <c:pt idx="58">
                  <c:v>5.0149333333333335</c:v>
                </c:pt>
                <c:pt idx="59">
                  <c:v>5.0184000000000006</c:v>
                </c:pt>
                <c:pt idx="60">
                  <c:v>5.0218666666666669</c:v>
                </c:pt>
                <c:pt idx="61">
                  <c:v>5.0253333333333341</c:v>
                </c:pt>
                <c:pt idx="62">
                  <c:v>5.0288000000000004</c:v>
                </c:pt>
                <c:pt idx="63">
                  <c:v>5.0322666666666676</c:v>
                </c:pt>
                <c:pt idx="64">
                  <c:v>5.0357333333333338</c:v>
                </c:pt>
                <c:pt idx="65">
                  <c:v>5.0392000000000001</c:v>
                </c:pt>
                <c:pt idx="66">
                  <c:v>5.0426666666666673</c:v>
                </c:pt>
                <c:pt idx="67">
                  <c:v>5.0461333333333336</c:v>
                </c:pt>
                <c:pt idx="68">
                  <c:v>5.0496000000000008</c:v>
                </c:pt>
                <c:pt idx="69">
                  <c:v>5.053066666666667</c:v>
                </c:pt>
                <c:pt idx="70">
                  <c:v>5.0565333333333342</c:v>
                </c:pt>
                <c:pt idx="71">
                  <c:v>5.0600000000000005</c:v>
                </c:pt>
                <c:pt idx="72">
                  <c:v>5.0634666666666668</c:v>
                </c:pt>
                <c:pt idx="73">
                  <c:v>5.066933333333334</c:v>
                </c:pt>
                <c:pt idx="74">
                  <c:v>5.0704000000000002</c:v>
                </c:pt>
                <c:pt idx="75">
                  <c:v>5.0738666666666674</c:v>
                </c:pt>
                <c:pt idx="76">
                  <c:v>5.0773333333333337</c:v>
                </c:pt>
                <c:pt idx="77">
                  <c:v>5.0808000000000009</c:v>
                </c:pt>
                <c:pt idx="78">
                  <c:v>5.0842666666666672</c:v>
                </c:pt>
                <c:pt idx="79">
                  <c:v>5.0877333333333334</c:v>
                </c:pt>
                <c:pt idx="80">
                  <c:v>5.0912000000000006</c:v>
                </c:pt>
                <c:pt idx="81">
                  <c:v>5.0946666666666669</c:v>
                </c:pt>
                <c:pt idx="82">
                  <c:v>5.0981333333333341</c:v>
                </c:pt>
                <c:pt idx="83">
                  <c:v>5.1016000000000004</c:v>
                </c:pt>
                <c:pt idx="84">
                  <c:v>5.1050666666666675</c:v>
                </c:pt>
                <c:pt idx="85">
                  <c:v>5.1085333333333338</c:v>
                </c:pt>
                <c:pt idx="86">
                  <c:v>5.1120000000000001</c:v>
                </c:pt>
                <c:pt idx="87">
                  <c:v>5.1154666666666673</c:v>
                </c:pt>
                <c:pt idx="88">
                  <c:v>5.1189333333333336</c:v>
                </c:pt>
                <c:pt idx="89">
                  <c:v>5.1224000000000007</c:v>
                </c:pt>
                <c:pt idx="90">
                  <c:v>5.125866666666667</c:v>
                </c:pt>
                <c:pt idx="91">
                  <c:v>5.1293333333333342</c:v>
                </c:pt>
                <c:pt idx="92">
                  <c:v>5.1328000000000005</c:v>
                </c:pt>
                <c:pt idx="93">
                  <c:v>5.1362666666666668</c:v>
                </c:pt>
                <c:pt idx="94">
                  <c:v>5.1397333333333339</c:v>
                </c:pt>
                <c:pt idx="95">
                  <c:v>5.1432000000000002</c:v>
                </c:pt>
                <c:pt idx="96">
                  <c:v>5.1466666666666674</c:v>
                </c:pt>
                <c:pt idx="97">
                  <c:v>5.1501333333333337</c:v>
                </c:pt>
                <c:pt idx="98">
                  <c:v>5.1536000000000008</c:v>
                </c:pt>
                <c:pt idx="99">
                  <c:v>5.1570666666666671</c:v>
                </c:pt>
                <c:pt idx="100">
                  <c:v>5.1605333333333334</c:v>
                </c:pt>
                <c:pt idx="101">
                  <c:v>5.1640000000000006</c:v>
                </c:pt>
                <c:pt idx="102">
                  <c:v>5.1674666666666669</c:v>
                </c:pt>
                <c:pt idx="103">
                  <c:v>5.170933333333334</c:v>
                </c:pt>
                <c:pt idx="104">
                  <c:v>5.1744000000000003</c:v>
                </c:pt>
                <c:pt idx="105">
                  <c:v>5.1778666666666675</c:v>
                </c:pt>
                <c:pt idx="106">
                  <c:v>5.1813333333333338</c:v>
                </c:pt>
                <c:pt idx="107">
                  <c:v>5.184800000000001</c:v>
                </c:pt>
                <c:pt idx="108">
                  <c:v>5.1882666666666672</c:v>
                </c:pt>
                <c:pt idx="109">
                  <c:v>5.1917333333333335</c:v>
                </c:pt>
                <c:pt idx="110">
                  <c:v>5.1952000000000007</c:v>
                </c:pt>
                <c:pt idx="111">
                  <c:v>5.198666666666667</c:v>
                </c:pt>
                <c:pt idx="112">
                  <c:v>5.2021333333333342</c:v>
                </c:pt>
                <c:pt idx="113">
                  <c:v>5.2056000000000004</c:v>
                </c:pt>
                <c:pt idx="114">
                  <c:v>5.2090666666666667</c:v>
                </c:pt>
                <c:pt idx="115">
                  <c:v>5.2125333333333339</c:v>
                </c:pt>
                <c:pt idx="116">
                  <c:v>5.2160000000000002</c:v>
                </c:pt>
                <c:pt idx="117">
                  <c:v>5.2194666666666674</c:v>
                </c:pt>
                <c:pt idx="118">
                  <c:v>5.2229333333333336</c:v>
                </c:pt>
                <c:pt idx="119">
                  <c:v>5.2264000000000008</c:v>
                </c:pt>
                <c:pt idx="120">
                  <c:v>5.2298666666666671</c:v>
                </c:pt>
                <c:pt idx="121">
                  <c:v>5.2333333333333343</c:v>
                </c:pt>
                <c:pt idx="122">
                  <c:v>5.2368000000000006</c:v>
                </c:pt>
                <c:pt idx="123">
                  <c:v>5.2402666666666669</c:v>
                </c:pt>
                <c:pt idx="124">
                  <c:v>5.243733333333334</c:v>
                </c:pt>
                <c:pt idx="125">
                  <c:v>5.2472000000000003</c:v>
                </c:pt>
                <c:pt idx="126">
                  <c:v>5.2506666666666675</c:v>
                </c:pt>
                <c:pt idx="127">
                  <c:v>5.2541333333333338</c:v>
                </c:pt>
                <c:pt idx="128">
                  <c:v>5.2576000000000001</c:v>
                </c:pt>
                <c:pt idx="129">
                  <c:v>5.2610666666666672</c:v>
                </c:pt>
                <c:pt idx="130">
                  <c:v>5.2645333333333335</c:v>
                </c:pt>
                <c:pt idx="131">
                  <c:v>5.2680000000000007</c:v>
                </c:pt>
                <c:pt idx="132">
                  <c:v>5.271466666666667</c:v>
                </c:pt>
                <c:pt idx="133">
                  <c:v>5.2749333333333341</c:v>
                </c:pt>
                <c:pt idx="134">
                  <c:v>5.2784000000000004</c:v>
                </c:pt>
                <c:pt idx="135">
                  <c:v>5.2818666666666676</c:v>
                </c:pt>
                <c:pt idx="136">
                  <c:v>5.2853333333333339</c:v>
                </c:pt>
                <c:pt idx="137">
                  <c:v>5.2888000000000002</c:v>
                </c:pt>
                <c:pt idx="138">
                  <c:v>5.2922666666666673</c:v>
                </c:pt>
                <c:pt idx="139">
                  <c:v>5.2957333333333336</c:v>
                </c:pt>
                <c:pt idx="140">
                  <c:v>5.2992000000000008</c:v>
                </c:pt>
                <c:pt idx="141">
                  <c:v>5.3026666666666671</c:v>
                </c:pt>
                <c:pt idx="142">
                  <c:v>5.3061333333333334</c:v>
                </c:pt>
                <c:pt idx="143">
                  <c:v>5.3096000000000005</c:v>
                </c:pt>
                <c:pt idx="144">
                  <c:v>5.3130666666666668</c:v>
                </c:pt>
                <c:pt idx="145">
                  <c:v>5.316533333333334</c:v>
                </c:pt>
                <c:pt idx="146">
                  <c:v>5.32</c:v>
                </c:pt>
                <c:pt idx="147">
                  <c:v>5.3234666666666675</c:v>
                </c:pt>
                <c:pt idx="148">
                  <c:v>5.3269333333333337</c:v>
                </c:pt>
                <c:pt idx="149">
                  <c:v>5.3304000000000009</c:v>
                </c:pt>
              </c:numCache>
            </c:numRef>
          </c:yVal>
          <c:smooth val="1"/>
          <c:extLst>
            <c:ext xmlns:c16="http://schemas.microsoft.com/office/drawing/2014/chart" uri="{C3380CC4-5D6E-409C-BE32-E72D297353CC}">
              <c16:uniqueId val="{00000002-ED55-4090-9A4A-DCF1DA6E3B25}"/>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Eff_vs_IOUT!$AO$7:$AO$157</c:f>
              <c:numCache>
                <c:formatCode>General</c:formatCode>
                <c:ptCount val="151"/>
                <c:pt idx="0">
                  <c:v>0</c:v>
                </c:pt>
                <c:pt idx="1">
                  <c:v>2.0928173392742363E-4</c:v>
                </c:pt>
                <c:pt idx="2">
                  <c:v>6.7616336257839008E-4</c:v>
                </c:pt>
                <c:pt idx="3">
                  <c:v>1.3702106827219375E-3</c:v>
                </c:pt>
                <c:pt idx="4">
                  <c:v>2.2857106978659376E-3</c:v>
                </c:pt>
                <c:pt idx="5">
                  <c:v>3.4220890235619125E-3</c:v>
                </c:pt>
                <c:pt idx="6">
                  <c:v>4.7808266162086641E-3</c:v>
                </c:pt>
                <c:pt idx="7">
                  <c:v>6.3644142809819856E-3</c:v>
                </c:pt>
                <c:pt idx="8">
                  <c:v>8.1758951615785256E-3</c:v>
                </c:pt>
                <c:pt idx="9">
                  <c:v>1.0218633480396817E-2</c:v>
                </c:pt>
                <c:pt idx="10">
                  <c:v>1.2496186125871394E-2</c:v>
                </c:pt>
                <c:pt idx="11">
                  <c:v>1.5012226495815432E-2</c:v>
                </c:pt>
                <c:pt idx="12">
                  <c:v>1.7770497108945248E-2</c:v>
                </c:pt>
                <c:pt idx="13">
                  <c:v>2.4413743903683302E-3</c:v>
                </c:pt>
                <c:pt idx="14">
                  <c:v>2.5779077237016636E-3</c:v>
                </c:pt>
                <c:pt idx="15">
                  <c:v>2.724554637281911E-3</c:v>
                </c:pt>
                <c:pt idx="16">
                  <c:v>2.8813151311090713E-3</c:v>
                </c:pt>
                <c:pt idx="17">
                  <c:v>3.0481892051831454E-3</c:v>
                </c:pt>
                <c:pt idx="18">
                  <c:v>3.2251768595041325E-3</c:v>
                </c:pt>
                <c:pt idx="19">
                  <c:v>3.4122780940720335E-3</c:v>
                </c:pt>
                <c:pt idx="20">
                  <c:v>3.6094929088868488E-3</c:v>
                </c:pt>
                <c:pt idx="21">
                  <c:v>3.8168213039485774E-3</c:v>
                </c:pt>
                <c:pt idx="22">
                  <c:v>4.0342632792572195E-3</c:v>
                </c:pt>
                <c:pt idx="23">
                  <c:v>4.2618188348127741E-3</c:v>
                </c:pt>
                <c:pt idx="24">
                  <c:v>4.4994879706152435E-3</c:v>
                </c:pt>
                <c:pt idx="25">
                  <c:v>4.7472706866646258E-3</c:v>
                </c:pt>
                <c:pt idx="26">
                  <c:v>5.0051669829609229E-3</c:v>
                </c:pt>
                <c:pt idx="27">
                  <c:v>5.2731768595041329E-3</c:v>
                </c:pt>
                <c:pt idx="28">
                  <c:v>5.5513003162942567E-3</c:v>
                </c:pt>
                <c:pt idx="29">
                  <c:v>5.8395373533312936E-3</c:v>
                </c:pt>
                <c:pt idx="30">
                  <c:v>6.137887970615246E-3</c:v>
                </c:pt>
                <c:pt idx="31">
                  <c:v>6.4463521681461097E-3</c:v>
                </c:pt>
                <c:pt idx="32">
                  <c:v>6.7649299459238855E-3</c:v>
                </c:pt>
                <c:pt idx="33">
                  <c:v>7.093621303948576E-3</c:v>
                </c:pt>
                <c:pt idx="34">
                  <c:v>7.4324262422201821E-3</c:v>
                </c:pt>
                <c:pt idx="35">
                  <c:v>7.7813447607387011E-3</c:v>
                </c:pt>
                <c:pt idx="36">
                  <c:v>8.1403768595041358E-3</c:v>
                </c:pt>
                <c:pt idx="37">
                  <c:v>8.5095225385164782E-3</c:v>
                </c:pt>
                <c:pt idx="38">
                  <c:v>8.8887817977757379E-3</c:v>
                </c:pt>
                <c:pt idx="39">
                  <c:v>9.2781546372819115E-3</c:v>
                </c:pt>
                <c:pt idx="40">
                  <c:v>9.677641057034999E-3</c:v>
                </c:pt>
                <c:pt idx="41">
                  <c:v>1.0087241057034999E-2</c:v>
                </c:pt>
                <c:pt idx="42">
                  <c:v>1.0506954637281912E-2</c:v>
                </c:pt>
                <c:pt idx="43">
                  <c:v>1.0936781797775739E-2</c:v>
                </c:pt>
                <c:pt idx="44">
                  <c:v>1.1376722538516479E-2</c:v>
                </c:pt>
                <c:pt idx="45">
                  <c:v>1.1826776859504135E-2</c:v>
                </c:pt>
                <c:pt idx="46">
                  <c:v>1.2286944760738704E-2</c:v>
                </c:pt>
                <c:pt idx="47">
                  <c:v>1.2757226242220183E-2</c:v>
                </c:pt>
                <c:pt idx="48">
                  <c:v>1.3237621303948576E-2</c:v>
                </c:pt>
                <c:pt idx="49">
                  <c:v>1.3728129945923885E-2</c:v>
                </c:pt>
                <c:pt idx="50">
                  <c:v>1.4228752168146107E-2</c:v>
                </c:pt>
                <c:pt idx="51">
                  <c:v>1.4739487970615245E-2</c:v>
                </c:pt>
                <c:pt idx="52">
                  <c:v>1.5260337353331294E-2</c:v>
                </c:pt>
                <c:pt idx="53">
                  <c:v>1.5791300316294256E-2</c:v>
                </c:pt>
                <c:pt idx="54">
                  <c:v>1.6332376859504134E-2</c:v>
                </c:pt>
                <c:pt idx="55">
                  <c:v>1.6883566982960931E-2</c:v>
                </c:pt>
                <c:pt idx="56">
                  <c:v>1.7444870686664633E-2</c:v>
                </c:pt>
                <c:pt idx="57">
                  <c:v>1.801628797061525E-2</c:v>
                </c:pt>
                <c:pt idx="58">
                  <c:v>1.859781883481278E-2</c:v>
                </c:pt>
                <c:pt idx="59">
                  <c:v>1.9189463279257225E-2</c:v>
                </c:pt>
                <c:pt idx="60">
                  <c:v>1.9791221303948586E-2</c:v>
                </c:pt>
                <c:pt idx="61">
                  <c:v>2.0403092908886845E-2</c:v>
                </c:pt>
                <c:pt idx="62">
                  <c:v>2.1025078094072041E-2</c:v>
                </c:pt>
                <c:pt idx="63">
                  <c:v>2.1657176859504135E-2</c:v>
                </c:pt>
                <c:pt idx="64">
                  <c:v>2.2299389205183144E-2</c:v>
                </c:pt>
                <c:pt idx="65">
                  <c:v>2.2951715131109079E-2</c:v>
                </c:pt>
                <c:pt idx="66">
                  <c:v>2.361415463728191E-2</c:v>
                </c:pt>
                <c:pt idx="67">
                  <c:v>2.4286707723701676E-2</c:v>
                </c:pt>
                <c:pt idx="68">
                  <c:v>2.4969374390368337E-2</c:v>
                </c:pt>
                <c:pt idx="69">
                  <c:v>2.5662154637281918E-2</c:v>
                </c:pt>
                <c:pt idx="70">
                  <c:v>2.6365048464442407E-2</c:v>
                </c:pt>
                <c:pt idx="71">
                  <c:v>2.7078055871849818E-2</c:v>
                </c:pt>
                <c:pt idx="72">
                  <c:v>2.7801176859504149E-2</c:v>
                </c:pt>
                <c:pt idx="73">
                  <c:v>2.8534411427405364E-2</c:v>
                </c:pt>
                <c:pt idx="74">
                  <c:v>2.9277759575553518E-2</c:v>
                </c:pt>
                <c:pt idx="75">
                  <c:v>3.0031221303948575E-2</c:v>
                </c:pt>
                <c:pt idx="76">
                  <c:v>3.0794796612590557E-2</c:v>
                </c:pt>
                <c:pt idx="77">
                  <c:v>3.1568485501479455E-2</c:v>
                </c:pt>
                <c:pt idx="78">
                  <c:v>3.2352287970615241E-2</c:v>
                </c:pt>
                <c:pt idx="79">
                  <c:v>3.3146204019997967E-2</c:v>
                </c:pt>
                <c:pt idx="80">
                  <c:v>3.3950233649627591E-2</c:v>
                </c:pt>
                <c:pt idx="81">
                  <c:v>3.4764376859504148E-2</c:v>
                </c:pt>
                <c:pt idx="82">
                  <c:v>3.5588633649627589E-2</c:v>
                </c:pt>
                <c:pt idx="83">
                  <c:v>3.642300401999797E-2</c:v>
                </c:pt>
                <c:pt idx="84">
                  <c:v>3.726748797061525E-2</c:v>
                </c:pt>
                <c:pt idx="85">
                  <c:v>3.8122085501479441E-2</c:v>
                </c:pt>
                <c:pt idx="86">
                  <c:v>3.8986796612590566E-2</c:v>
                </c:pt>
                <c:pt idx="87">
                  <c:v>3.9861621303948588E-2</c:v>
                </c:pt>
                <c:pt idx="88">
                  <c:v>4.0746559575553516E-2</c:v>
                </c:pt>
                <c:pt idx="89">
                  <c:v>4.1641611427405391E-2</c:v>
                </c:pt>
                <c:pt idx="90">
                  <c:v>4.254677685950415E-2</c:v>
                </c:pt>
                <c:pt idx="91">
                  <c:v>4.3462055871849814E-2</c:v>
                </c:pt>
                <c:pt idx="92">
                  <c:v>4.4387448464442425E-2</c:v>
                </c:pt>
                <c:pt idx="93">
                  <c:v>4.532295463728192E-2</c:v>
                </c:pt>
                <c:pt idx="94">
                  <c:v>4.6268574390368342E-2</c:v>
                </c:pt>
                <c:pt idx="95">
                  <c:v>4.7224307723701689E-2</c:v>
                </c:pt>
                <c:pt idx="96">
                  <c:v>4.8190154637281907E-2</c:v>
                </c:pt>
                <c:pt idx="97">
                  <c:v>4.9166115131109085E-2</c:v>
                </c:pt>
                <c:pt idx="98">
                  <c:v>5.0152189205183148E-2</c:v>
                </c:pt>
                <c:pt idx="99">
                  <c:v>5.114837685950413E-2</c:v>
                </c:pt>
                <c:pt idx="100">
                  <c:v>5.2154678094072038E-2</c:v>
                </c:pt>
                <c:pt idx="101">
                  <c:v>5.3171092908886851E-2</c:v>
                </c:pt>
                <c:pt idx="102">
                  <c:v>5.4197621303948597E-2</c:v>
                </c:pt>
                <c:pt idx="103">
                  <c:v>5.5234263279257241E-2</c:v>
                </c:pt>
                <c:pt idx="104">
                  <c:v>5.6281018834812784E-2</c:v>
                </c:pt>
                <c:pt idx="105">
                  <c:v>5.7337887970615252E-2</c:v>
                </c:pt>
                <c:pt idx="106">
                  <c:v>5.8404870686664639E-2</c:v>
                </c:pt>
                <c:pt idx="107">
                  <c:v>5.9481966982960932E-2</c:v>
                </c:pt>
                <c:pt idx="108">
                  <c:v>6.0569176859504144E-2</c:v>
                </c:pt>
                <c:pt idx="109">
                  <c:v>6.1666500316294261E-2</c:v>
                </c:pt>
                <c:pt idx="110">
                  <c:v>6.2773937353331311E-2</c:v>
                </c:pt>
                <c:pt idx="111">
                  <c:v>6.3891487970615252E-2</c:v>
                </c:pt>
                <c:pt idx="112">
                  <c:v>6.5019152168146119E-2</c:v>
                </c:pt>
                <c:pt idx="113">
                  <c:v>6.6156929945923898E-2</c:v>
                </c:pt>
                <c:pt idx="114">
                  <c:v>6.7304821303948603E-2</c:v>
                </c:pt>
                <c:pt idx="115">
                  <c:v>6.8462826242220179E-2</c:v>
                </c:pt>
                <c:pt idx="116">
                  <c:v>6.9630944760738736E-2</c:v>
                </c:pt>
                <c:pt idx="117">
                  <c:v>7.080917685950415E-2</c:v>
                </c:pt>
                <c:pt idx="118">
                  <c:v>7.1997522538516476E-2</c:v>
                </c:pt>
                <c:pt idx="119">
                  <c:v>7.3195981797775728E-2</c:v>
                </c:pt>
                <c:pt idx="120">
                  <c:v>7.4404554637281919E-2</c:v>
                </c:pt>
                <c:pt idx="121">
                  <c:v>7.5623241057035051E-2</c:v>
                </c:pt>
                <c:pt idx="122">
                  <c:v>7.6852041057034998E-2</c:v>
                </c:pt>
                <c:pt idx="123">
                  <c:v>7.8090954637281884E-2</c:v>
                </c:pt>
                <c:pt idx="124">
                  <c:v>7.933998179777578E-2</c:v>
                </c:pt>
                <c:pt idx="125">
                  <c:v>8.0599122538516491E-2</c:v>
                </c:pt>
                <c:pt idx="126">
                  <c:v>8.1868376859504141E-2</c:v>
                </c:pt>
                <c:pt idx="127">
                  <c:v>8.314774476073869E-2</c:v>
                </c:pt>
                <c:pt idx="128">
                  <c:v>8.4437226242220179E-2</c:v>
                </c:pt>
                <c:pt idx="129">
                  <c:v>8.5736821303948579E-2</c:v>
                </c:pt>
                <c:pt idx="130">
                  <c:v>8.7046529945923892E-2</c:v>
                </c:pt>
                <c:pt idx="131">
                  <c:v>8.8366352168146076E-2</c:v>
                </c:pt>
                <c:pt idx="132">
                  <c:v>8.9696287970615227E-2</c:v>
                </c:pt>
                <c:pt idx="133">
                  <c:v>9.103633735333129E-2</c:v>
                </c:pt>
                <c:pt idx="134">
                  <c:v>9.2386500316294279E-2</c:v>
                </c:pt>
                <c:pt idx="135">
                  <c:v>9.3746776859504138E-2</c:v>
                </c:pt>
                <c:pt idx="136">
                  <c:v>9.5117166982960938E-2</c:v>
                </c:pt>
                <c:pt idx="137">
                  <c:v>9.6497670686664649E-2</c:v>
                </c:pt>
                <c:pt idx="138">
                  <c:v>9.7888287970615245E-2</c:v>
                </c:pt>
                <c:pt idx="139">
                  <c:v>9.9289018834812809E-2</c:v>
                </c:pt>
                <c:pt idx="140">
                  <c:v>0.10069986327925722</c:v>
                </c:pt>
                <c:pt idx="141">
                  <c:v>0.1021208213039486</c:v>
                </c:pt>
                <c:pt idx="142">
                  <c:v>0.10355189290888686</c:v>
                </c:pt>
                <c:pt idx="143">
                  <c:v>0.10499307809407205</c:v>
                </c:pt>
                <c:pt idx="144">
                  <c:v>0.10644437685950417</c:v>
                </c:pt>
                <c:pt idx="145">
                  <c:v>0.10790578920518311</c:v>
                </c:pt>
                <c:pt idx="146">
                  <c:v>0.10937731513110907</c:v>
                </c:pt>
                <c:pt idx="147">
                  <c:v>0.11085895463728195</c:v>
                </c:pt>
                <c:pt idx="148">
                  <c:v>0.11235070772370165</c:v>
                </c:pt>
                <c:pt idx="149">
                  <c:v>0.11385257439036833</c:v>
                </c:pt>
                <c:pt idx="150">
                  <c:v>0.11536455463728189</c:v>
                </c:pt>
              </c:numCache>
            </c:numRef>
          </c:yVal>
          <c:smooth val="1"/>
          <c:extLst>
            <c:ext xmlns:c16="http://schemas.microsoft.com/office/drawing/2014/chart" uri="{C3380CC4-5D6E-409C-BE32-E72D297353CC}">
              <c16:uniqueId val="{00000003-ED55-4090-9A4A-DCF1DA6E3B25}"/>
            </c:ext>
          </c:extLst>
        </c:ser>
        <c:dLbls>
          <c:showLegendKey val="0"/>
          <c:showVal val="0"/>
          <c:showCatName val="0"/>
          <c:showSerName val="0"/>
          <c:showPercent val="0"/>
          <c:showBubbleSize val="0"/>
        </c:dLbls>
        <c:axId val="174879488"/>
        <c:axId val="174877312"/>
      </c:scatterChart>
      <c:valAx>
        <c:axId val="174861312"/>
        <c:scaling>
          <c:orientation val="minMax"/>
        </c:scaling>
        <c:delete val="0"/>
        <c:axPos val="b"/>
        <c:majorGridlines/>
        <c:numFmt formatCode="General" sourceLinked="1"/>
        <c:majorTickMark val="out"/>
        <c:minorTickMark val="none"/>
        <c:tickLblPos val="nextTo"/>
        <c:crossAx val="174875392"/>
        <c:crosses val="autoZero"/>
        <c:crossBetween val="midCat"/>
      </c:valAx>
      <c:valAx>
        <c:axId val="174875392"/>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74861312"/>
        <c:crosses val="autoZero"/>
        <c:crossBetween val="midCat"/>
      </c:valAx>
      <c:valAx>
        <c:axId val="174877312"/>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74879488"/>
        <c:crosses val="max"/>
        <c:crossBetween val="midCat"/>
      </c:valAx>
      <c:valAx>
        <c:axId val="174879488"/>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174877312"/>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Eff_vs_IOUT!$AT$7:$AT$157</c:f>
              <c:numCache>
                <c:formatCode>General</c:formatCode>
                <c:ptCount val="151"/>
                <c:pt idx="0">
                  <c:v>0</c:v>
                </c:pt>
                <c:pt idx="1">
                  <c:v>10.970114698060518</c:v>
                </c:pt>
                <c:pt idx="2">
                  <c:v>19.512626646228533</c:v>
                </c:pt>
                <c:pt idx="3">
                  <c:v>26.351347485866999</c:v>
                </c:pt>
                <c:pt idx="4">
                  <c:v>31.94840350471312</c:v>
                </c:pt>
                <c:pt idx="5">
                  <c:v>36.612648802152258</c:v>
                </c:pt>
                <c:pt idx="6">
                  <c:v>40.558333278605367</c:v>
                </c:pt>
                <c:pt idx="7">
                  <c:v>43.938744774347995</c:v>
                </c:pt>
                <c:pt idx="8">
                  <c:v>46.866450076997303</c:v>
                </c:pt>
                <c:pt idx="9">
                  <c:v>49.425974167542662</c:v>
                </c:pt>
                <c:pt idx="10">
                  <c:v>51.682020011515043</c:v>
                </c:pt>
                <c:pt idx="11">
                  <c:v>53.684957297851113</c:v>
                </c:pt>
                <c:pt idx="12">
                  <c:v>55.474583153956623</c:v>
                </c:pt>
                <c:pt idx="13">
                  <c:v>57.233939032280368</c:v>
                </c:pt>
                <c:pt idx="14">
                  <c:v>58.708061700647228</c:v>
                </c:pt>
                <c:pt idx="15">
                  <c:v>60.048380502126705</c:v>
                </c:pt>
                <c:pt idx="16">
                  <c:v>61.272307686437465</c:v>
                </c:pt>
                <c:pt idx="17">
                  <c:v>62.394359905468733</c:v>
                </c:pt>
                <c:pt idx="18">
                  <c:v>63.426736098275768</c:v>
                </c:pt>
                <c:pt idx="19">
                  <c:v>64.379762291381226</c:v>
                </c:pt>
                <c:pt idx="20">
                  <c:v>65.262237749704269</c:v>
                </c:pt>
                <c:pt idx="21">
                  <c:v>66.08170709350793</c:v>
                </c:pt>
                <c:pt idx="22">
                  <c:v>66.84467621878504</c:v>
                </c:pt>
                <c:pt idx="23">
                  <c:v>67.55678511031067</c:v>
                </c:pt>
                <c:pt idx="24">
                  <c:v>68.222947264534341</c:v>
                </c:pt>
                <c:pt idx="25">
                  <c:v>68.847463014238386</c:v>
                </c:pt>
                <c:pt idx="26">
                  <c:v>69.43411228200668</c:v>
                </c:pt>
                <c:pt idx="27">
                  <c:v>69.986230991105899</c:v>
                </c:pt>
                <c:pt idx="28">
                  <c:v>70.506774397316889</c:v>
                </c:pt>
                <c:pt idx="29">
                  <c:v>70.998369881097162</c:v>
                </c:pt>
                <c:pt idx="30">
                  <c:v>71.463361191192078</c:v>
                </c:pt>
                <c:pt idx="31">
                  <c:v>71.903845712217276</c:v>
                </c:pt>
                <c:pt idx="32">
                  <c:v>72.321706006608139</c:v>
                </c:pt>
                <c:pt idx="33">
                  <c:v>72.718636631585525</c:v>
                </c:pt>
                <c:pt idx="34">
                  <c:v>73.096167036793318</c:v>
                </c:pt>
                <c:pt idx="35">
                  <c:v>73.455681194998874</c:v>
                </c:pt>
                <c:pt idx="36">
                  <c:v>73.798434497024488</c:v>
                </c:pt>
                <c:pt idx="37">
                  <c:v>74.125568345617211</c:v>
                </c:pt>
                <c:pt idx="38">
                  <c:v>74.438122805776388</c:v>
                </c:pt>
                <c:pt idx="39">
                  <c:v>74.737047606951975</c:v>
                </c:pt>
                <c:pt idx="40">
                  <c:v>75.023211742301072</c:v>
                </c:pt>
                <c:pt idx="41">
                  <c:v>75.297411869371189</c:v>
                </c:pt>
                <c:pt idx="42">
                  <c:v>75.560379683248229</c:v>
                </c:pt>
                <c:pt idx="43">
                  <c:v>75.812788405870961</c:v>
                </c:pt>
                <c:pt idx="44">
                  <c:v>76.055258512695275</c:v>
                </c:pt>
                <c:pt idx="45">
                  <c:v>76.288362799267603</c:v>
                </c:pt>
                <c:pt idx="46">
                  <c:v>76.512630874801246</c:v>
                </c:pt>
                <c:pt idx="47">
                  <c:v>76.728553156959947</c:v>
                </c:pt>
                <c:pt idx="48">
                  <c:v>76.936584431269495</c:v>
                </c:pt>
                <c:pt idx="49">
                  <c:v>77.137147029527341</c:v>
                </c:pt>
                <c:pt idx="50">
                  <c:v>77.330633673955845</c:v>
                </c:pt>
                <c:pt idx="51">
                  <c:v>77.517410027403571</c:v>
                </c:pt>
                <c:pt idx="52">
                  <c:v>77.697816984438532</c:v>
                </c:pt>
                <c:pt idx="53">
                  <c:v>77.872172733535891</c:v>
                </c:pt>
                <c:pt idx="54">
                  <c:v>78.040774616605063</c:v>
                </c:pt>
                <c:pt idx="55">
                  <c:v>78.203900808717336</c:v>
                </c:pt>
                <c:pt idx="56">
                  <c:v>78.361811837994992</c:v>
                </c:pt>
                <c:pt idx="57">
                  <c:v>78.514751963129726</c:v>
                </c:pt>
                <c:pt idx="58">
                  <c:v>78.662950423849679</c:v>
                </c:pt>
                <c:pt idx="59">
                  <c:v>78.806622577799857</c:v>
                </c:pt>
                <c:pt idx="60">
                  <c:v>78.945970935693225</c:v>
                </c:pt>
                <c:pt idx="61">
                  <c:v>79.08118610519675</c:v>
                </c:pt>
                <c:pt idx="62">
                  <c:v>79.212447652803803</c:v>
                </c:pt>
                <c:pt idx="63">
                  <c:v>79.339924891888174</c:v>
                </c:pt>
                <c:pt idx="64">
                  <c:v>79.463777604212027</c:v>
                </c:pt>
                <c:pt idx="65">
                  <c:v>79.584156701352626</c:v>
                </c:pt>
                <c:pt idx="66">
                  <c:v>79.701204831805214</c:v>
                </c:pt>
                <c:pt idx="67">
                  <c:v>79.815056938896618</c:v>
                </c:pt>
                <c:pt idx="68">
                  <c:v>79.925840774097523</c:v>
                </c:pt>
                <c:pt idx="69">
                  <c:v>80.033677369838827</c:v>
                </c:pt>
                <c:pt idx="70">
                  <c:v>80.138681475510339</c:v>
                </c:pt>
                <c:pt idx="71">
                  <c:v>80.240961959944286</c:v>
                </c:pt>
                <c:pt idx="72">
                  <c:v>80.340622183351101</c:v>
                </c:pt>
                <c:pt idx="73">
                  <c:v>80.437760341378464</c:v>
                </c:pt>
                <c:pt idx="74">
                  <c:v>80.532469783701558</c:v>
                </c:pt>
                <c:pt idx="75">
                  <c:v>80.624839309316712</c:v>
                </c:pt>
                <c:pt idx="76">
                  <c:v>80.714953440502498</c:v>
                </c:pt>
                <c:pt idx="77">
                  <c:v>80.802892677224506</c:v>
                </c:pt>
                <c:pt idx="78">
                  <c:v>80.888733733593298</c:v>
                </c:pt>
                <c:pt idx="79">
                  <c:v>80.972549757835807</c:v>
                </c:pt>
                <c:pt idx="80">
                  <c:v>81.05441053710534</c:v>
                </c:pt>
                <c:pt idx="81">
                  <c:v>81.134382688335847</c:v>
                </c:pt>
                <c:pt idx="82">
                  <c:v>81.21252983623738</c:v>
                </c:pt>
                <c:pt idx="83">
                  <c:v>81.28891277943211</c:v>
                </c:pt>
                <c:pt idx="84">
                  <c:v>81.363589645642762</c:v>
                </c:pt>
                <c:pt idx="85">
                  <c:v>81.436616036766111</c:v>
                </c:pt>
                <c:pt idx="86">
                  <c:v>81.508045164591934</c:v>
                </c:pt>
                <c:pt idx="87">
                  <c:v>81.577927977864391</c:v>
                </c:pt>
                <c:pt idx="88">
                  <c:v>81.646313281322563</c:v>
                </c:pt>
                <c:pt idx="89">
                  <c:v>81.713247847305411</c:v>
                </c:pt>
                <c:pt idx="90">
                  <c:v>81.778776520457001</c:v>
                </c:pt>
                <c:pt idx="91">
                  <c:v>81.84294231602469</c:v>
                </c:pt>
                <c:pt idx="92">
                  <c:v>81.905786512203065</c:v>
                </c:pt>
                <c:pt idx="93">
                  <c:v>81.967348736940281</c:v>
                </c:pt>
                <c:pt idx="94">
                  <c:v>82.027667049590207</c:v>
                </c:pt>
                <c:pt idx="95">
                  <c:v>82.086778017764033</c:v>
                </c:pt>
                <c:pt idx="96">
                  <c:v>82.144716789707488</c:v>
                </c:pt>
                <c:pt idx="97">
                  <c:v>82.201517162504544</c:v>
                </c:pt>
                <c:pt idx="98">
                  <c:v>82.257211646385713</c:v>
                </c:pt>
                <c:pt idx="99">
                  <c:v>82.311831525398077</c:v>
                </c:pt>
                <c:pt idx="100">
                  <c:v>82.365406914675049</c:v>
                </c:pt>
                <c:pt idx="101">
                  <c:v>82.417966814525982</c:v>
                </c:pt>
                <c:pt idx="102">
                  <c:v>82.469539161549861</c:v>
                </c:pt>
                <c:pt idx="103">
                  <c:v>82.52015087696229</c:v>
                </c:pt>
                <c:pt idx="104">
                  <c:v>82.569827912311439</c:v>
                </c:pt>
                <c:pt idx="105">
                  <c:v>82.618595292746193</c:v>
                </c:pt>
                <c:pt idx="106">
                  <c:v>82.66647715798797</c:v>
                </c:pt>
                <c:pt idx="107">
                  <c:v>82.713496801146903</c:v>
                </c:pt>
                <c:pt idx="108">
                  <c:v>82.759676705514053</c:v>
                </c:pt>
                <c:pt idx="109">
                  <c:v>82.805038579451377</c:v>
                </c:pt>
                <c:pt idx="110">
                  <c:v>82.849603389493126</c:v>
                </c:pt>
                <c:pt idx="111">
                  <c:v>82.893391391765107</c:v>
                </c:pt>
                <c:pt idx="112">
                  <c:v>82.936422161820303</c:v>
                </c:pt>
                <c:pt idx="113">
                  <c:v>82.978714622983517</c:v>
                </c:pt>
                <c:pt idx="114">
                  <c:v>83.020287073291087</c:v>
                </c:pt>
                <c:pt idx="115">
                  <c:v>83.061157211106121</c:v>
                </c:pt>
                <c:pt idx="116">
                  <c:v>83.101342159485</c:v>
                </c:pt>
                <c:pt idx="117">
                  <c:v>83.140858489365257</c:v>
                </c:pt>
                <c:pt idx="118">
                  <c:v>83.179722241640732</c:v>
                </c:pt>
                <c:pt idx="119">
                  <c:v>83.217948948186333</c:v>
                </c:pt>
                <c:pt idx="120">
                  <c:v>83.255553651889599</c:v>
                </c:pt>
                <c:pt idx="121">
                  <c:v>83.29255092574391</c:v>
                </c:pt>
                <c:pt idx="122">
                  <c:v>83.328954891053769</c:v>
                </c:pt>
                <c:pt idx="123">
                  <c:v>83.364779234800409</c:v>
                </c:pt>
                <c:pt idx="124">
                  <c:v>83.400037226212305</c:v>
                </c:pt>
                <c:pt idx="125">
                  <c:v>83.434741732582566</c:v>
                </c:pt>
                <c:pt idx="126">
                  <c:v>83.468905234373423</c:v>
                </c:pt>
                <c:pt idx="127">
                  <c:v>83.502539839644342</c:v>
                </c:pt>
                <c:pt idx="128">
                  <c:v>83.535657297839293</c:v>
                </c:pt>
                <c:pt idx="129">
                  <c:v>83.568269012965985</c:v>
                </c:pt>
                <c:pt idx="130">
                  <c:v>83.600386056198104</c:v>
                </c:pt>
                <c:pt idx="131">
                  <c:v>83.632019177929834</c:v>
                </c:pt>
                <c:pt idx="132">
                  <c:v>83.663178819310318</c:v>
                </c:pt>
                <c:pt idx="133">
                  <c:v>83.693875123283817</c:v>
                </c:pt>
                <c:pt idx="134">
                  <c:v>83.724117945160415</c:v>
                </c:pt>
                <c:pt idx="135">
                  <c:v>83.753916862740169</c:v>
                </c:pt>
                <c:pt idx="136">
                  <c:v>83.78328118601263</c:v>
                </c:pt>
                <c:pt idx="137">
                  <c:v>83.812219966452332</c:v>
                </c:pt>
                <c:pt idx="138">
                  <c:v>83.840742005929869</c:v>
                </c:pt>
                <c:pt idx="139">
                  <c:v>83.868855865256847</c:v>
                </c:pt>
                <c:pt idx="140">
                  <c:v>83.896569872382159</c:v>
                </c:pt>
                <c:pt idx="141">
                  <c:v>83.923892130256149</c:v>
                </c:pt>
                <c:pt idx="142">
                  <c:v>83.950830524378233</c:v>
                </c:pt>
                <c:pt idx="143">
                  <c:v>83.977392730042581</c:v>
                </c:pt>
                <c:pt idx="144">
                  <c:v>84.003586219296196</c:v>
                </c:pt>
                <c:pt idx="145">
                  <c:v>84.02941826762229</c:v>
                </c:pt>
                <c:pt idx="146">
                  <c:v>84.054895960361691</c:v>
                </c:pt>
                <c:pt idx="147">
                  <c:v>84.080026198884113</c:v>
                </c:pt>
                <c:pt idx="148">
                  <c:v>84.104815706520824</c:v>
                </c:pt>
                <c:pt idx="149">
                  <c:v>84.129271034268825</c:v>
                </c:pt>
                <c:pt idx="150">
                  <c:v>84.153398566277517</c:v>
                </c:pt>
              </c:numCache>
            </c:numRef>
          </c:yVal>
          <c:smooth val="0"/>
          <c:extLst>
            <c:ext xmlns:c16="http://schemas.microsoft.com/office/drawing/2014/chart" uri="{C3380CC4-5D6E-409C-BE32-E72D297353CC}">
              <c16:uniqueId val="{00000000-1F7F-4636-A580-34FBFDC03A54}"/>
            </c:ext>
          </c:extLst>
        </c:ser>
        <c:dLbls>
          <c:showLegendKey val="0"/>
          <c:showVal val="0"/>
          <c:showCatName val="0"/>
          <c:showSerName val="0"/>
          <c:showPercent val="0"/>
          <c:showBubbleSize val="0"/>
        </c:dLbls>
        <c:axId val="175638784"/>
        <c:axId val="175648768"/>
      </c:scatterChart>
      <c:scatterChart>
        <c:scatterStyle val="smoothMarker"/>
        <c:varyColors val="0"/>
        <c:ser>
          <c:idx val="1"/>
          <c:order val="1"/>
          <c:tx>
            <c:v>MOSFET</c:v>
          </c:tx>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Eff_vs_IOUT!$AI$7:$AI$157</c:f>
              <c:numCache>
                <c:formatCode>General</c:formatCode>
                <c:ptCount val="151"/>
                <c:pt idx="0">
                  <c:v>0</c:v>
                </c:pt>
                <c:pt idx="1">
                  <c:v>8.160603408314436E-2</c:v>
                </c:pt>
                <c:pt idx="2">
                  <c:v>0.16349542805048461</c:v>
                </c:pt>
                <c:pt idx="3">
                  <c:v>0.24563470427846668</c:v>
                </c:pt>
                <c:pt idx="4">
                  <c:v>0.32801757847094926</c:v>
                </c:pt>
                <c:pt idx="5">
                  <c:v>0.41064341880503896</c:v>
                </c:pt>
                <c:pt idx="6">
                  <c:v>0.49351385433277462</c:v>
                </c:pt>
                <c:pt idx="7">
                  <c:v>0.57663162493984954</c:v>
                </c:pt>
                <c:pt idx="8">
                  <c:v>0.66000007808432992</c:v>
                </c:pt>
                <c:pt idx="9">
                  <c:v>0.74362291441085415</c:v>
                </c:pt>
                <c:pt idx="10">
                  <c:v>0.82750404649670029</c:v>
                </c:pt>
                <c:pt idx="11">
                  <c:v>0.91164751507946307</c:v>
                </c:pt>
                <c:pt idx="12">
                  <c:v>0.99605743692972992</c:v>
                </c:pt>
                <c:pt idx="13">
                  <c:v>1.0605712261151197</c:v>
                </c:pt>
                <c:pt idx="14">
                  <c:v>1.1420972369576106</c:v>
                </c:pt>
                <c:pt idx="15">
                  <c:v>1.2236343727383732</c:v>
                </c:pt>
                <c:pt idx="16">
                  <c:v>1.305182633457407</c:v>
                </c:pt>
                <c:pt idx="17">
                  <c:v>1.3867420191147124</c:v>
                </c:pt>
                <c:pt idx="18">
                  <c:v>1.4683125297102897</c:v>
                </c:pt>
                <c:pt idx="19">
                  <c:v>1.5498941652441389</c:v>
                </c:pt>
                <c:pt idx="20">
                  <c:v>1.631486925716259</c:v>
                </c:pt>
                <c:pt idx="21">
                  <c:v>1.7130908111266514</c:v>
                </c:pt>
                <c:pt idx="22">
                  <c:v>1.7947058214753151</c:v>
                </c:pt>
                <c:pt idx="23">
                  <c:v>1.8763319567622507</c:v>
                </c:pt>
                <c:pt idx="24">
                  <c:v>1.9579692169874572</c:v>
                </c:pt>
                <c:pt idx="25">
                  <c:v>2.0396176021509356</c:v>
                </c:pt>
                <c:pt idx="26">
                  <c:v>2.1212771122526859</c:v>
                </c:pt>
                <c:pt idx="27">
                  <c:v>2.2029477472927081</c:v>
                </c:pt>
                <c:pt idx="28">
                  <c:v>2.284629507271001</c:v>
                </c:pt>
                <c:pt idx="29">
                  <c:v>2.3663223921875662</c:v>
                </c:pt>
                <c:pt idx="30">
                  <c:v>2.448026402042403</c:v>
                </c:pt>
                <c:pt idx="31">
                  <c:v>2.5297415368355112</c:v>
                </c:pt>
                <c:pt idx="32">
                  <c:v>2.6114677965668904</c:v>
                </c:pt>
                <c:pt idx="33">
                  <c:v>2.6932051812365416</c:v>
                </c:pt>
                <c:pt idx="34">
                  <c:v>2.7749536908444643</c:v>
                </c:pt>
                <c:pt idx="35">
                  <c:v>2.8567133253906589</c:v>
                </c:pt>
                <c:pt idx="36">
                  <c:v>2.938484084875125</c:v>
                </c:pt>
                <c:pt idx="37">
                  <c:v>3.0202659692978626</c:v>
                </c:pt>
                <c:pt idx="38">
                  <c:v>3.1020589786588726</c:v>
                </c:pt>
                <c:pt idx="39">
                  <c:v>3.1838631129581536</c:v>
                </c:pt>
                <c:pt idx="40">
                  <c:v>3.2656783721957057</c:v>
                </c:pt>
                <c:pt idx="41">
                  <c:v>3.3475047563715306</c:v>
                </c:pt>
                <c:pt idx="42">
                  <c:v>3.429342265485626</c:v>
                </c:pt>
                <c:pt idx="43">
                  <c:v>3.511190899537993</c:v>
                </c:pt>
                <c:pt idx="44">
                  <c:v>3.5930506585286324</c:v>
                </c:pt>
                <c:pt idx="45">
                  <c:v>3.6749215424575437</c:v>
                </c:pt>
                <c:pt idx="46">
                  <c:v>3.756803551324726</c:v>
                </c:pt>
                <c:pt idx="47">
                  <c:v>3.8386966851301789</c:v>
                </c:pt>
                <c:pt idx="48">
                  <c:v>3.9206009438739042</c:v>
                </c:pt>
                <c:pt idx="49">
                  <c:v>4.0025163275559015</c:v>
                </c:pt>
                <c:pt idx="50">
                  <c:v>4.0844428361761702</c:v>
                </c:pt>
                <c:pt idx="51">
                  <c:v>4.16638046973471</c:v>
                </c:pt>
                <c:pt idx="52">
                  <c:v>4.2483292282315226</c:v>
                </c:pt>
                <c:pt idx="53">
                  <c:v>4.3302891116666062</c:v>
                </c:pt>
                <c:pt idx="54">
                  <c:v>4.4122601200399618</c:v>
                </c:pt>
                <c:pt idx="55">
                  <c:v>4.4942422533515884</c:v>
                </c:pt>
                <c:pt idx="56">
                  <c:v>4.5762355116014861</c:v>
                </c:pt>
                <c:pt idx="57">
                  <c:v>4.6582398947896548</c:v>
                </c:pt>
                <c:pt idx="58">
                  <c:v>4.7402554029160981</c:v>
                </c:pt>
                <c:pt idx="59">
                  <c:v>4.8222820359808107</c:v>
                </c:pt>
                <c:pt idx="60">
                  <c:v>4.9043197939837953</c:v>
                </c:pt>
                <c:pt idx="61">
                  <c:v>4.9863686769250517</c:v>
                </c:pt>
                <c:pt idx="62">
                  <c:v>5.0684286848045801</c:v>
                </c:pt>
                <c:pt idx="63">
                  <c:v>5.1504998176223795</c:v>
                </c:pt>
                <c:pt idx="64">
                  <c:v>5.2325820753784491</c:v>
                </c:pt>
                <c:pt idx="65">
                  <c:v>5.3146754580727933</c:v>
                </c:pt>
                <c:pt idx="66">
                  <c:v>5.3967799657054059</c:v>
                </c:pt>
                <c:pt idx="67">
                  <c:v>5.478895598276293</c:v>
                </c:pt>
                <c:pt idx="68">
                  <c:v>5.5610223557854495</c:v>
                </c:pt>
                <c:pt idx="69">
                  <c:v>5.6431602382328787</c:v>
                </c:pt>
                <c:pt idx="70">
                  <c:v>5.7253092456185799</c:v>
                </c:pt>
                <c:pt idx="71">
                  <c:v>5.8074693779425521</c:v>
                </c:pt>
                <c:pt idx="72">
                  <c:v>5.8896406352047954</c:v>
                </c:pt>
                <c:pt idx="73">
                  <c:v>5.9718230174053106</c:v>
                </c:pt>
                <c:pt idx="74">
                  <c:v>6.0540165245440978</c:v>
                </c:pt>
                <c:pt idx="75">
                  <c:v>6.1362211566211569</c:v>
                </c:pt>
                <c:pt idx="76">
                  <c:v>6.2184369136364888</c:v>
                </c:pt>
                <c:pt idx="77">
                  <c:v>6.3006637955900899</c:v>
                </c:pt>
                <c:pt idx="78">
                  <c:v>6.3829018024819639</c:v>
                </c:pt>
                <c:pt idx="79">
                  <c:v>6.465150934312109</c:v>
                </c:pt>
                <c:pt idx="80">
                  <c:v>6.5474111910805242</c:v>
                </c:pt>
                <c:pt idx="81">
                  <c:v>6.629682572787214</c:v>
                </c:pt>
                <c:pt idx="82">
                  <c:v>6.7119650794321739</c:v>
                </c:pt>
                <c:pt idx="83">
                  <c:v>6.7942587110154058</c:v>
                </c:pt>
                <c:pt idx="84">
                  <c:v>6.8765634675369087</c:v>
                </c:pt>
                <c:pt idx="85">
                  <c:v>6.9588793489966827</c:v>
                </c:pt>
                <c:pt idx="86">
                  <c:v>7.0412063553947295</c:v>
                </c:pt>
                <c:pt idx="87">
                  <c:v>7.1235444867310482</c:v>
                </c:pt>
                <c:pt idx="88">
                  <c:v>7.2058937430056371</c:v>
                </c:pt>
                <c:pt idx="89">
                  <c:v>7.2882541242184988</c:v>
                </c:pt>
                <c:pt idx="90">
                  <c:v>7.3706256303696334</c:v>
                </c:pt>
                <c:pt idx="91">
                  <c:v>7.4530082614590354</c:v>
                </c:pt>
                <c:pt idx="92">
                  <c:v>7.5354020174867129</c:v>
                </c:pt>
                <c:pt idx="93">
                  <c:v>7.6178068984526588</c:v>
                </c:pt>
                <c:pt idx="94">
                  <c:v>7.7002229043568784</c:v>
                </c:pt>
                <c:pt idx="95">
                  <c:v>7.7826500351993708</c:v>
                </c:pt>
                <c:pt idx="96">
                  <c:v>7.8650882909801316</c:v>
                </c:pt>
                <c:pt idx="97">
                  <c:v>7.9475376716991661</c:v>
                </c:pt>
                <c:pt idx="98">
                  <c:v>8.0299981773564717</c:v>
                </c:pt>
                <c:pt idx="99">
                  <c:v>8.1124698079520492</c:v>
                </c:pt>
                <c:pt idx="100">
                  <c:v>8.1949525634858986</c:v>
                </c:pt>
                <c:pt idx="101">
                  <c:v>8.2774464439580182</c:v>
                </c:pt>
                <c:pt idx="102">
                  <c:v>8.3599514493684097</c:v>
                </c:pt>
                <c:pt idx="103">
                  <c:v>8.442467579717075</c:v>
                </c:pt>
                <c:pt idx="104">
                  <c:v>8.5249948350040103</c:v>
                </c:pt>
                <c:pt idx="105">
                  <c:v>8.6075332152292159</c:v>
                </c:pt>
                <c:pt idx="106">
                  <c:v>8.6900827203926951</c:v>
                </c:pt>
                <c:pt idx="107">
                  <c:v>8.7726433504944428</c:v>
                </c:pt>
                <c:pt idx="108">
                  <c:v>8.8552151055344694</c:v>
                </c:pt>
                <c:pt idx="109">
                  <c:v>8.9377979855127592</c:v>
                </c:pt>
                <c:pt idx="110">
                  <c:v>9.0203919904293262</c:v>
                </c:pt>
                <c:pt idx="111">
                  <c:v>9.1029971202841615</c:v>
                </c:pt>
                <c:pt idx="112">
                  <c:v>9.1856133750772706</c:v>
                </c:pt>
                <c:pt idx="113">
                  <c:v>9.2682407548086481</c:v>
                </c:pt>
                <c:pt idx="114">
                  <c:v>9.3508792594782992</c:v>
                </c:pt>
                <c:pt idx="115">
                  <c:v>9.4335288890862241</c:v>
                </c:pt>
                <c:pt idx="116">
                  <c:v>9.5161896436324209</c:v>
                </c:pt>
                <c:pt idx="117">
                  <c:v>9.5988615231168843</c:v>
                </c:pt>
                <c:pt idx="118">
                  <c:v>9.6815445275396232</c:v>
                </c:pt>
                <c:pt idx="119">
                  <c:v>9.7642386569006323</c:v>
                </c:pt>
                <c:pt idx="120">
                  <c:v>9.8469439111999133</c:v>
                </c:pt>
                <c:pt idx="121">
                  <c:v>9.9296602904374645</c:v>
                </c:pt>
                <c:pt idx="122">
                  <c:v>10.012387794613291</c:v>
                </c:pt>
                <c:pt idx="123">
                  <c:v>10.095126423727384</c:v>
                </c:pt>
                <c:pt idx="124">
                  <c:v>10.177876177779755</c:v>
                </c:pt>
                <c:pt idx="125">
                  <c:v>10.26063705677039</c:v>
                </c:pt>
                <c:pt idx="126">
                  <c:v>10.343409060699305</c:v>
                </c:pt>
                <c:pt idx="127">
                  <c:v>10.426192189566482</c:v>
                </c:pt>
                <c:pt idx="128">
                  <c:v>10.508986443371938</c:v>
                </c:pt>
                <c:pt idx="129">
                  <c:v>10.591791822115665</c:v>
                </c:pt>
                <c:pt idx="130">
                  <c:v>10.674608325797662</c:v>
                </c:pt>
                <c:pt idx="131">
                  <c:v>10.757435954417931</c:v>
                </c:pt>
                <c:pt idx="132">
                  <c:v>10.840274707976469</c:v>
                </c:pt>
                <c:pt idx="133">
                  <c:v>10.923124586473282</c:v>
                </c:pt>
                <c:pt idx="134">
                  <c:v>11.005985589908365</c:v>
                </c:pt>
                <c:pt idx="135">
                  <c:v>11.088857718281719</c:v>
                </c:pt>
                <c:pt idx="136">
                  <c:v>11.171740971593346</c:v>
                </c:pt>
                <c:pt idx="137">
                  <c:v>11.254635349843245</c:v>
                </c:pt>
                <c:pt idx="138">
                  <c:v>11.337540853031415</c:v>
                </c:pt>
                <c:pt idx="139">
                  <c:v>11.420457481157857</c:v>
                </c:pt>
                <c:pt idx="140">
                  <c:v>11.503385234222568</c:v>
                </c:pt>
                <c:pt idx="141">
                  <c:v>11.586324112225554</c:v>
                </c:pt>
                <c:pt idx="142">
                  <c:v>11.669274115166809</c:v>
                </c:pt>
                <c:pt idx="143">
                  <c:v>11.752235243046339</c:v>
                </c:pt>
                <c:pt idx="144">
                  <c:v>11.835207495864136</c:v>
                </c:pt>
                <c:pt idx="145">
                  <c:v>11.91819087362021</c:v>
                </c:pt>
                <c:pt idx="146">
                  <c:v>12.001185376314551</c:v>
                </c:pt>
                <c:pt idx="147">
                  <c:v>12.084191003947168</c:v>
                </c:pt>
                <c:pt idx="148">
                  <c:v>12.167207756518049</c:v>
                </c:pt>
                <c:pt idx="149">
                  <c:v>12.250235634027211</c:v>
                </c:pt>
                <c:pt idx="150">
                  <c:v>12.333274636474636</c:v>
                </c:pt>
              </c:numCache>
            </c:numRef>
          </c:yVal>
          <c:smooth val="1"/>
          <c:extLst>
            <c:ext xmlns:c16="http://schemas.microsoft.com/office/drawing/2014/chart" uri="{C3380CC4-5D6E-409C-BE32-E72D297353CC}">
              <c16:uniqueId val="{00000001-1F7F-4636-A580-34FBFDC03A54}"/>
            </c:ext>
          </c:extLst>
        </c:ser>
        <c:ser>
          <c:idx val="2"/>
          <c:order val="2"/>
          <c:tx>
            <c:v>Diode</c:v>
          </c:tx>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Eff_vs_IOUT!$AN$7:$AN$157</c:f>
              <c:numCache>
                <c:formatCode>General</c:formatCode>
                <c:ptCount val="151"/>
                <c:pt idx="0">
                  <c:v>4.8104000000000005</c:v>
                </c:pt>
                <c:pt idx="1">
                  <c:v>4.8138666666666667</c:v>
                </c:pt>
                <c:pt idx="2">
                  <c:v>4.8173333333333339</c:v>
                </c:pt>
                <c:pt idx="3">
                  <c:v>4.8208000000000002</c:v>
                </c:pt>
                <c:pt idx="4">
                  <c:v>4.8242666666666674</c:v>
                </c:pt>
                <c:pt idx="5">
                  <c:v>4.8277333333333337</c:v>
                </c:pt>
                <c:pt idx="6">
                  <c:v>4.8312000000000008</c:v>
                </c:pt>
                <c:pt idx="7">
                  <c:v>4.8346666666666671</c:v>
                </c:pt>
                <c:pt idx="8">
                  <c:v>4.8381333333333334</c:v>
                </c:pt>
                <c:pt idx="9">
                  <c:v>4.8416000000000006</c:v>
                </c:pt>
                <c:pt idx="10">
                  <c:v>4.8450666666666669</c:v>
                </c:pt>
                <c:pt idx="11">
                  <c:v>4.848533333333334</c:v>
                </c:pt>
                <c:pt idx="12">
                  <c:v>4.8520000000000003</c:v>
                </c:pt>
                <c:pt idx="13">
                  <c:v>4.8554666666666675</c:v>
                </c:pt>
                <c:pt idx="14">
                  <c:v>4.8589333333333338</c:v>
                </c:pt>
                <c:pt idx="15">
                  <c:v>4.8624000000000001</c:v>
                </c:pt>
                <c:pt idx="16">
                  <c:v>4.8658666666666672</c:v>
                </c:pt>
                <c:pt idx="17">
                  <c:v>4.8693333333333335</c:v>
                </c:pt>
                <c:pt idx="18">
                  <c:v>4.8728000000000007</c:v>
                </c:pt>
                <c:pt idx="19">
                  <c:v>4.876266666666667</c:v>
                </c:pt>
                <c:pt idx="20">
                  <c:v>4.8797333333333341</c:v>
                </c:pt>
                <c:pt idx="21">
                  <c:v>4.8832000000000004</c:v>
                </c:pt>
                <c:pt idx="22">
                  <c:v>4.8866666666666667</c:v>
                </c:pt>
                <c:pt idx="23">
                  <c:v>4.8901333333333339</c:v>
                </c:pt>
                <c:pt idx="24">
                  <c:v>4.8936000000000002</c:v>
                </c:pt>
                <c:pt idx="25">
                  <c:v>4.8970666666666673</c:v>
                </c:pt>
                <c:pt idx="26">
                  <c:v>4.9005333333333336</c:v>
                </c:pt>
                <c:pt idx="27">
                  <c:v>4.9040000000000008</c:v>
                </c:pt>
                <c:pt idx="28">
                  <c:v>4.9074666666666671</c:v>
                </c:pt>
                <c:pt idx="29">
                  <c:v>4.9109333333333334</c:v>
                </c:pt>
                <c:pt idx="30">
                  <c:v>4.9144000000000005</c:v>
                </c:pt>
                <c:pt idx="31">
                  <c:v>4.9178666666666668</c:v>
                </c:pt>
                <c:pt idx="32">
                  <c:v>4.921333333333334</c:v>
                </c:pt>
                <c:pt idx="33">
                  <c:v>4.9248000000000003</c:v>
                </c:pt>
                <c:pt idx="34">
                  <c:v>4.9282666666666675</c:v>
                </c:pt>
                <c:pt idx="35">
                  <c:v>4.9317333333333337</c:v>
                </c:pt>
                <c:pt idx="36">
                  <c:v>4.9352</c:v>
                </c:pt>
                <c:pt idx="37">
                  <c:v>4.9386666666666672</c:v>
                </c:pt>
                <c:pt idx="38">
                  <c:v>4.9421333333333335</c:v>
                </c:pt>
                <c:pt idx="39">
                  <c:v>4.9456000000000007</c:v>
                </c:pt>
                <c:pt idx="40">
                  <c:v>4.9490666666666669</c:v>
                </c:pt>
                <c:pt idx="41">
                  <c:v>4.9525333333333341</c:v>
                </c:pt>
                <c:pt idx="42">
                  <c:v>4.9560000000000004</c:v>
                </c:pt>
                <c:pt idx="43">
                  <c:v>4.9594666666666676</c:v>
                </c:pt>
                <c:pt idx="44">
                  <c:v>4.9629333333333339</c:v>
                </c:pt>
                <c:pt idx="45">
                  <c:v>4.9664000000000001</c:v>
                </c:pt>
                <c:pt idx="46">
                  <c:v>4.9698666666666673</c:v>
                </c:pt>
                <c:pt idx="47">
                  <c:v>4.9733333333333336</c:v>
                </c:pt>
                <c:pt idx="48">
                  <c:v>4.9768000000000008</c:v>
                </c:pt>
                <c:pt idx="49">
                  <c:v>4.9802666666666671</c:v>
                </c:pt>
                <c:pt idx="50">
                  <c:v>4.9837333333333342</c:v>
                </c:pt>
                <c:pt idx="51">
                  <c:v>4.9872000000000005</c:v>
                </c:pt>
                <c:pt idx="52">
                  <c:v>4.9906666666666668</c:v>
                </c:pt>
                <c:pt idx="53">
                  <c:v>4.994133333333334</c:v>
                </c:pt>
                <c:pt idx="54">
                  <c:v>4.9976000000000003</c:v>
                </c:pt>
                <c:pt idx="55">
                  <c:v>5.0010666666666674</c:v>
                </c:pt>
                <c:pt idx="56">
                  <c:v>5.0045333333333337</c:v>
                </c:pt>
                <c:pt idx="57">
                  <c:v>5.0080000000000009</c:v>
                </c:pt>
                <c:pt idx="58">
                  <c:v>5.0114666666666672</c:v>
                </c:pt>
                <c:pt idx="59">
                  <c:v>5.0149333333333335</c:v>
                </c:pt>
                <c:pt idx="60">
                  <c:v>5.0184000000000006</c:v>
                </c:pt>
                <c:pt idx="61">
                  <c:v>5.0218666666666669</c:v>
                </c:pt>
                <c:pt idx="62">
                  <c:v>5.0253333333333341</c:v>
                </c:pt>
                <c:pt idx="63">
                  <c:v>5.0288000000000004</c:v>
                </c:pt>
                <c:pt idx="64">
                  <c:v>5.0322666666666676</c:v>
                </c:pt>
                <c:pt idx="65">
                  <c:v>5.0357333333333338</c:v>
                </c:pt>
                <c:pt idx="66">
                  <c:v>5.0392000000000001</c:v>
                </c:pt>
                <c:pt idx="67">
                  <c:v>5.0426666666666673</c:v>
                </c:pt>
                <c:pt idx="68">
                  <c:v>5.0461333333333336</c:v>
                </c:pt>
                <c:pt idx="69">
                  <c:v>5.0496000000000008</c:v>
                </c:pt>
                <c:pt idx="70">
                  <c:v>5.053066666666667</c:v>
                </c:pt>
                <c:pt idx="71">
                  <c:v>5.0565333333333342</c:v>
                </c:pt>
                <c:pt idx="72">
                  <c:v>5.0600000000000005</c:v>
                </c:pt>
                <c:pt idx="73">
                  <c:v>5.0634666666666668</c:v>
                </c:pt>
                <c:pt idx="74">
                  <c:v>5.066933333333334</c:v>
                </c:pt>
                <c:pt idx="75">
                  <c:v>5.0704000000000002</c:v>
                </c:pt>
                <c:pt idx="76">
                  <c:v>5.0738666666666674</c:v>
                </c:pt>
                <c:pt idx="77">
                  <c:v>5.0773333333333337</c:v>
                </c:pt>
                <c:pt idx="78">
                  <c:v>5.0808000000000009</c:v>
                </c:pt>
                <c:pt idx="79">
                  <c:v>5.0842666666666672</c:v>
                </c:pt>
                <c:pt idx="80">
                  <c:v>5.0877333333333334</c:v>
                </c:pt>
                <c:pt idx="81">
                  <c:v>5.0912000000000006</c:v>
                </c:pt>
                <c:pt idx="82">
                  <c:v>5.0946666666666669</c:v>
                </c:pt>
                <c:pt idx="83">
                  <c:v>5.0981333333333341</c:v>
                </c:pt>
                <c:pt idx="84">
                  <c:v>5.1016000000000004</c:v>
                </c:pt>
                <c:pt idx="85">
                  <c:v>5.1050666666666675</c:v>
                </c:pt>
                <c:pt idx="86">
                  <c:v>5.1085333333333338</c:v>
                </c:pt>
                <c:pt idx="87">
                  <c:v>5.1120000000000001</c:v>
                </c:pt>
                <c:pt idx="88">
                  <c:v>5.1154666666666673</c:v>
                </c:pt>
                <c:pt idx="89">
                  <c:v>5.1189333333333336</c:v>
                </c:pt>
                <c:pt idx="90">
                  <c:v>5.1224000000000007</c:v>
                </c:pt>
                <c:pt idx="91">
                  <c:v>5.125866666666667</c:v>
                </c:pt>
                <c:pt idx="92">
                  <c:v>5.1293333333333342</c:v>
                </c:pt>
                <c:pt idx="93">
                  <c:v>5.1328000000000005</c:v>
                </c:pt>
                <c:pt idx="94">
                  <c:v>5.1362666666666668</c:v>
                </c:pt>
                <c:pt idx="95">
                  <c:v>5.1397333333333339</c:v>
                </c:pt>
                <c:pt idx="96">
                  <c:v>5.1432000000000002</c:v>
                </c:pt>
                <c:pt idx="97">
                  <c:v>5.1466666666666674</c:v>
                </c:pt>
                <c:pt idx="98">
                  <c:v>5.1501333333333337</c:v>
                </c:pt>
                <c:pt idx="99">
                  <c:v>5.1536000000000008</c:v>
                </c:pt>
                <c:pt idx="100">
                  <c:v>5.1570666666666671</c:v>
                </c:pt>
                <c:pt idx="101">
                  <c:v>5.1605333333333334</c:v>
                </c:pt>
                <c:pt idx="102">
                  <c:v>5.1640000000000006</c:v>
                </c:pt>
                <c:pt idx="103">
                  <c:v>5.1674666666666669</c:v>
                </c:pt>
                <c:pt idx="104">
                  <c:v>5.170933333333334</c:v>
                </c:pt>
                <c:pt idx="105">
                  <c:v>5.1744000000000003</c:v>
                </c:pt>
                <c:pt idx="106">
                  <c:v>5.1778666666666675</c:v>
                </c:pt>
                <c:pt idx="107">
                  <c:v>5.1813333333333338</c:v>
                </c:pt>
                <c:pt idx="108">
                  <c:v>5.184800000000001</c:v>
                </c:pt>
                <c:pt idx="109">
                  <c:v>5.1882666666666672</c:v>
                </c:pt>
                <c:pt idx="110">
                  <c:v>5.1917333333333335</c:v>
                </c:pt>
                <c:pt idx="111">
                  <c:v>5.1952000000000007</c:v>
                </c:pt>
                <c:pt idx="112">
                  <c:v>5.198666666666667</c:v>
                </c:pt>
                <c:pt idx="113">
                  <c:v>5.2021333333333342</c:v>
                </c:pt>
                <c:pt idx="114">
                  <c:v>5.2056000000000004</c:v>
                </c:pt>
                <c:pt idx="115">
                  <c:v>5.2090666666666667</c:v>
                </c:pt>
                <c:pt idx="116">
                  <c:v>5.2125333333333339</c:v>
                </c:pt>
                <c:pt idx="117">
                  <c:v>5.2160000000000002</c:v>
                </c:pt>
                <c:pt idx="118">
                  <c:v>5.2194666666666674</c:v>
                </c:pt>
                <c:pt idx="119">
                  <c:v>5.2229333333333336</c:v>
                </c:pt>
                <c:pt idx="120">
                  <c:v>5.2264000000000008</c:v>
                </c:pt>
                <c:pt idx="121">
                  <c:v>5.2298666666666671</c:v>
                </c:pt>
                <c:pt idx="122">
                  <c:v>5.2333333333333343</c:v>
                </c:pt>
                <c:pt idx="123">
                  <c:v>5.2368000000000006</c:v>
                </c:pt>
                <c:pt idx="124">
                  <c:v>5.2402666666666669</c:v>
                </c:pt>
                <c:pt idx="125">
                  <c:v>5.243733333333334</c:v>
                </c:pt>
                <c:pt idx="126">
                  <c:v>5.2472000000000003</c:v>
                </c:pt>
                <c:pt idx="127">
                  <c:v>5.2506666666666675</c:v>
                </c:pt>
                <c:pt idx="128">
                  <c:v>5.2541333333333338</c:v>
                </c:pt>
                <c:pt idx="129">
                  <c:v>5.2576000000000001</c:v>
                </c:pt>
                <c:pt idx="130">
                  <c:v>5.2610666666666672</c:v>
                </c:pt>
                <c:pt idx="131">
                  <c:v>5.2645333333333335</c:v>
                </c:pt>
                <c:pt idx="132">
                  <c:v>5.2680000000000007</c:v>
                </c:pt>
                <c:pt idx="133">
                  <c:v>5.271466666666667</c:v>
                </c:pt>
                <c:pt idx="134">
                  <c:v>5.2749333333333341</c:v>
                </c:pt>
                <c:pt idx="135">
                  <c:v>5.2784000000000004</c:v>
                </c:pt>
                <c:pt idx="136">
                  <c:v>5.2818666666666676</c:v>
                </c:pt>
                <c:pt idx="137">
                  <c:v>5.2853333333333339</c:v>
                </c:pt>
                <c:pt idx="138">
                  <c:v>5.2888000000000002</c:v>
                </c:pt>
                <c:pt idx="139">
                  <c:v>5.2922666666666673</c:v>
                </c:pt>
                <c:pt idx="140">
                  <c:v>5.2957333333333336</c:v>
                </c:pt>
                <c:pt idx="141">
                  <c:v>5.2992000000000008</c:v>
                </c:pt>
                <c:pt idx="142">
                  <c:v>5.3026666666666671</c:v>
                </c:pt>
                <c:pt idx="143">
                  <c:v>5.3061333333333334</c:v>
                </c:pt>
                <c:pt idx="144">
                  <c:v>5.3096000000000005</c:v>
                </c:pt>
                <c:pt idx="145">
                  <c:v>5.3130666666666668</c:v>
                </c:pt>
                <c:pt idx="146">
                  <c:v>5.316533333333334</c:v>
                </c:pt>
                <c:pt idx="147">
                  <c:v>5.32</c:v>
                </c:pt>
                <c:pt idx="148">
                  <c:v>5.3234666666666675</c:v>
                </c:pt>
                <c:pt idx="149">
                  <c:v>5.3269333333333337</c:v>
                </c:pt>
                <c:pt idx="150">
                  <c:v>5.3304000000000009</c:v>
                </c:pt>
              </c:numCache>
            </c:numRef>
          </c:yVal>
          <c:smooth val="1"/>
          <c:extLst>
            <c:ext xmlns:c16="http://schemas.microsoft.com/office/drawing/2014/chart" uri="{C3380CC4-5D6E-409C-BE32-E72D297353CC}">
              <c16:uniqueId val="{00000002-1F7F-4636-A580-34FBFDC03A54}"/>
            </c:ext>
          </c:extLst>
        </c:ser>
        <c:ser>
          <c:idx val="3"/>
          <c:order val="3"/>
          <c:tx>
            <c:v>RCS</c:v>
          </c:tx>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Eff_vs_IOUT!$AO$7:$AO$157</c:f>
              <c:numCache>
                <c:formatCode>General</c:formatCode>
                <c:ptCount val="151"/>
                <c:pt idx="0">
                  <c:v>0</c:v>
                </c:pt>
                <c:pt idx="1">
                  <c:v>2.0928173392742363E-4</c:v>
                </c:pt>
                <c:pt idx="2">
                  <c:v>6.7616336257839008E-4</c:v>
                </c:pt>
                <c:pt idx="3">
                  <c:v>1.3702106827219375E-3</c:v>
                </c:pt>
                <c:pt idx="4">
                  <c:v>2.2857106978659376E-3</c:v>
                </c:pt>
                <c:pt idx="5">
                  <c:v>3.4220890235619125E-3</c:v>
                </c:pt>
                <c:pt idx="6">
                  <c:v>4.7808266162086641E-3</c:v>
                </c:pt>
                <c:pt idx="7">
                  <c:v>6.3644142809819856E-3</c:v>
                </c:pt>
                <c:pt idx="8">
                  <c:v>8.1758951615785256E-3</c:v>
                </c:pt>
                <c:pt idx="9">
                  <c:v>1.0218633480396817E-2</c:v>
                </c:pt>
                <c:pt idx="10">
                  <c:v>1.2496186125871394E-2</c:v>
                </c:pt>
                <c:pt idx="11">
                  <c:v>1.5012226495815432E-2</c:v>
                </c:pt>
                <c:pt idx="12">
                  <c:v>1.7770497108945248E-2</c:v>
                </c:pt>
                <c:pt idx="13">
                  <c:v>2.4413743903683302E-3</c:v>
                </c:pt>
                <c:pt idx="14">
                  <c:v>2.5779077237016636E-3</c:v>
                </c:pt>
                <c:pt idx="15">
                  <c:v>2.724554637281911E-3</c:v>
                </c:pt>
                <c:pt idx="16">
                  <c:v>2.8813151311090713E-3</c:v>
                </c:pt>
                <c:pt idx="17">
                  <c:v>3.0481892051831454E-3</c:v>
                </c:pt>
                <c:pt idx="18">
                  <c:v>3.2251768595041325E-3</c:v>
                </c:pt>
                <c:pt idx="19">
                  <c:v>3.4122780940720335E-3</c:v>
                </c:pt>
                <c:pt idx="20">
                  <c:v>3.6094929088868488E-3</c:v>
                </c:pt>
                <c:pt idx="21">
                  <c:v>3.8168213039485774E-3</c:v>
                </c:pt>
                <c:pt idx="22">
                  <c:v>4.0342632792572195E-3</c:v>
                </c:pt>
                <c:pt idx="23">
                  <c:v>4.2618188348127741E-3</c:v>
                </c:pt>
                <c:pt idx="24">
                  <c:v>4.4994879706152435E-3</c:v>
                </c:pt>
                <c:pt idx="25">
                  <c:v>4.7472706866646258E-3</c:v>
                </c:pt>
                <c:pt idx="26">
                  <c:v>5.0051669829609229E-3</c:v>
                </c:pt>
                <c:pt idx="27">
                  <c:v>5.2731768595041329E-3</c:v>
                </c:pt>
                <c:pt idx="28">
                  <c:v>5.5513003162942567E-3</c:v>
                </c:pt>
                <c:pt idx="29">
                  <c:v>5.8395373533312936E-3</c:v>
                </c:pt>
                <c:pt idx="30">
                  <c:v>6.137887970615246E-3</c:v>
                </c:pt>
                <c:pt idx="31">
                  <c:v>6.4463521681461097E-3</c:v>
                </c:pt>
                <c:pt idx="32">
                  <c:v>6.7649299459238855E-3</c:v>
                </c:pt>
                <c:pt idx="33">
                  <c:v>7.093621303948576E-3</c:v>
                </c:pt>
                <c:pt idx="34">
                  <c:v>7.4324262422201821E-3</c:v>
                </c:pt>
                <c:pt idx="35">
                  <c:v>7.7813447607387011E-3</c:v>
                </c:pt>
                <c:pt idx="36">
                  <c:v>8.1403768595041358E-3</c:v>
                </c:pt>
                <c:pt idx="37">
                  <c:v>8.5095225385164782E-3</c:v>
                </c:pt>
                <c:pt idx="38">
                  <c:v>8.8887817977757379E-3</c:v>
                </c:pt>
                <c:pt idx="39">
                  <c:v>9.2781546372819115E-3</c:v>
                </c:pt>
                <c:pt idx="40">
                  <c:v>9.677641057034999E-3</c:v>
                </c:pt>
                <c:pt idx="41">
                  <c:v>1.0087241057034999E-2</c:v>
                </c:pt>
                <c:pt idx="42">
                  <c:v>1.0506954637281912E-2</c:v>
                </c:pt>
                <c:pt idx="43">
                  <c:v>1.0936781797775739E-2</c:v>
                </c:pt>
                <c:pt idx="44">
                  <c:v>1.1376722538516479E-2</c:v>
                </c:pt>
                <c:pt idx="45">
                  <c:v>1.1826776859504135E-2</c:v>
                </c:pt>
                <c:pt idx="46">
                  <c:v>1.2286944760738704E-2</c:v>
                </c:pt>
                <c:pt idx="47">
                  <c:v>1.2757226242220183E-2</c:v>
                </c:pt>
                <c:pt idx="48">
                  <c:v>1.3237621303948576E-2</c:v>
                </c:pt>
                <c:pt idx="49">
                  <c:v>1.3728129945923885E-2</c:v>
                </c:pt>
                <c:pt idx="50">
                  <c:v>1.4228752168146107E-2</c:v>
                </c:pt>
                <c:pt idx="51">
                  <c:v>1.4739487970615245E-2</c:v>
                </c:pt>
                <c:pt idx="52">
                  <c:v>1.5260337353331294E-2</c:v>
                </c:pt>
                <c:pt idx="53">
                  <c:v>1.5791300316294256E-2</c:v>
                </c:pt>
                <c:pt idx="54">
                  <c:v>1.6332376859504134E-2</c:v>
                </c:pt>
                <c:pt idx="55">
                  <c:v>1.6883566982960931E-2</c:v>
                </c:pt>
                <c:pt idx="56">
                  <c:v>1.7444870686664633E-2</c:v>
                </c:pt>
                <c:pt idx="57">
                  <c:v>1.801628797061525E-2</c:v>
                </c:pt>
                <c:pt idx="58">
                  <c:v>1.859781883481278E-2</c:v>
                </c:pt>
                <c:pt idx="59">
                  <c:v>1.9189463279257225E-2</c:v>
                </c:pt>
                <c:pt idx="60">
                  <c:v>1.9791221303948586E-2</c:v>
                </c:pt>
                <c:pt idx="61">
                  <c:v>2.0403092908886845E-2</c:v>
                </c:pt>
                <c:pt idx="62">
                  <c:v>2.1025078094072041E-2</c:v>
                </c:pt>
                <c:pt idx="63">
                  <c:v>2.1657176859504135E-2</c:v>
                </c:pt>
                <c:pt idx="64">
                  <c:v>2.2299389205183144E-2</c:v>
                </c:pt>
                <c:pt idx="65">
                  <c:v>2.2951715131109079E-2</c:v>
                </c:pt>
                <c:pt idx="66">
                  <c:v>2.361415463728191E-2</c:v>
                </c:pt>
                <c:pt idx="67">
                  <c:v>2.4286707723701676E-2</c:v>
                </c:pt>
                <c:pt idx="68">
                  <c:v>2.4969374390368337E-2</c:v>
                </c:pt>
                <c:pt idx="69">
                  <c:v>2.5662154637281918E-2</c:v>
                </c:pt>
                <c:pt idx="70">
                  <c:v>2.6365048464442407E-2</c:v>
                </c:pt>
                <c:pt idx="71">
                  <c:v>2.7078055871849818E-2</c:v>
                </c:pt>
                <c:pt idx="72">
                  <c:v>2.7801176859504149E-2</c:v>
                </c:pt>
                <c:pt idx="73">
                  <c:v>2.8534411427405364E-2</c:v>
                </c:pt>
                <c:pt idx="74">
                  <c:v>2.9277759575553518E-2</c:v>
                </c:pt>
                <c:pt idx="75">
                  <c:v>3.0031221303948575E-2</c:v>
                </c:pt>
                <c:pt idx="76">
                  <c:v>3.0794796612590557E-2</c:v>
                </c:pt>
                <c:pt idx="77">
                  <c:v>3.1568485501479455E-2</c:v>
                </c:pt>
                <c:pt idx="78">
                  <c:v>3.2352287970615241E-2</c:v>
                </c:pt>
                <c:pt idx="79">
                  <c:v>3.3146204019997967E-2</c:v>
                </c:pt>
                <c:pt idx="80">
                  <c:v>3.3950233649627591E-2</c:v>
                </c:pt>
                <c:pt idx="81">
                  <c:v>3.4764376859504148E-2</c:v>
                </c:pt>
                <c:pt idx="82">
                  <c:v>3.5588633649627589E-2</c:v>
                </c:pt>
                <c:pt idx="83">
                  <c:v>3.642300401999797E-2</c:v>
                </c:pt>
                <c:pt idx="84">
                  <c:v>3.726748797061525E-2</c:v>
                </c:pt>
                <c:pt idx="85">
                  <c:v>3.8122085501479441E-2</c:v>
                </c:pt>
                <c:pt idx="86">
                  <c:v>3.8986796612590566E-2</c:v>
                </c:pt>
                <c:pt idx="87">
                  <c:v>3.9861621303948588E-2</c:v>
                </c:pt>
                <c:pt idx="88">
                  <c:v>4.0746559575553516E-2</c:v>
                </c:pt>
                <c:pt idx="89">
                  <c:v>4.1641611427405391E-2</c:v>
                </c:pt>
                <c:pt idx="90">
                  <c:v>4.254677685950415E-2</c:v>
                </c:pt>
                <c:pt idx="91">
                  <c:v>4.3462055871849814E-2</c:v>
                </c:pt>
                <c:pt idx="92">
                  <c:v>4.4387448464442425E-2</c:v>
                </c:pt>
                <c:pt idx="93">
                  <c:v>4.532295463728192E-2</c:v>
                </c:pt>
                <c:pt idx="94">
                  <c:v>4.6268574390368342E-2</c:v>
                </c:pt>
                <c:pt idx="95">
                  <c:v>4.7224307723701689E-2</c:v>
                </c:pt>
                <c:pt idx="96">
                  <c:v>4.8190154637281907E-2</c:v>
                </c:pt>
                <c:pt idx="97">
                  <c:v>4.9166115131109085E-2</c:v>
                </c:pt>
                <c:pt idx="98">
                  <c:v>5.0152189205183148E-2</c:v>
                </c:pt>
                <c:pt idx="99">
                  <c:v>5.114837685950413E-2</c:v>
                </c:pt>
                <c:pt idx="100">
                  <c:v>5.2154678094072038E-2</c:v>
                </c:pt>
                <c:pt idx="101">
                  <c:v>5.3171092908886851E-2</c:v>
                </c:pt>
                <c:pt idx="102">
                  <c:v>5.4197621303948597E-2</c:v>
                </c:pt>
                <c:pt idx="103">
                  <c:v>5.5234263279257241E-2</c:v>
                </c:pt>
                <c:pt idx="104">
                  <c:v>5.6281018834812784E-2</c:v>
                </c:pt>
                <c:pt idx="105">
                  <c:v>5.7337887970615252E-2</c:v>
                </c:pt>
                <c:pt idx="106">
                  <c:v>5.8404870686664639E-2</c:v>
                </c:pt>
                <c:pt idx="107">
                  <c:v>5.9481966982960932E-2</c:v>
                </c:pt>
                <c:pt idx="108">
                  <c:v>6.0569176859504144E-2</c:v>
                </c:pt>
                <c:pt idx="109">
                  <c:v>6.1666500316294261E-2</c:v>
                </c:pt>
                <c:pt idx="110">
                  <c:v>6.2773937353331311E-2</c:v>
                </c:pt>
                <c:pt idx="111">
                  <c:v>6.3891487970615252E-2</c:v>
                </c:pt>
                <c:pt idx="112">
                  <c:v>6.5019152168146119E-2</c:v>
                </c:pt>
                <c:pt idx="113">
                  <c:v>6.6156929945923898E-2</c:v>
                </c:pt>
                <c:pt idx="114">
                  <c:v>6.7304821303948603E-2</c:v>
                </c:pt>
                <c:pt idx="115">
                  <c:v>6.8462826242220179E-2</c:v>
                </c:pt>
                <c:pt idx="116">
                  <c:v>6.9630944760738736E-2</c:v>
                </c:pt>
                <c:pt idx="117">
                  <c:v>7.080917685950415E-2</c:v>
                </c:pt>
                <c:pt idx="118">
                  <c:v>7.1997522538516476E-2</c:v>
                </c:pt>
                <c:pt idx="119">
                  <c:v>7.3195981797775728E-2</c:v>
                </c:pt>
                <c:pt idx="120">
                  <c:v>7.4404554637281919E-2</c:v>
                </c:pt>
                <c:pt idx="121">
                  <c:v>7.5623241057035051E-2</c:v>
                </c:pt>
                <c:pt idx="122">
                  <c:v>7.6852041057034998E-2</c:v>
                </c:pt>
                <c:pt idx="123">
                  <c:v>7.8090954637281884E-2</c:v>
                </c:pt>
                <c:pt idx="124">
                  <c:v>7.933998179777578E-2</c:v>
                </c:pt>
                <c:pt idx="125">
                  <c:v>8.0599122538516491E-2</c:v>
                </c:pt>
                <c:pt idx="126">
                  <c:v>8.1868376859504141E-2</c:v>
                </c:pt>
                <c:pt idx="127">
                  <c:v>8.314774476073869E-2</c:v>
                </c:pt>
                <c:pt idx="128">
                  <c:v>8.4437226242220179E-2</c:v>
                </c:pt>
                <c:pt idx="129">
                  <c:v>8.5736821303948579E-2</c:v>
                </c:pt>
                <c:pt idx="130">
                  <c:v>8.7046529945923892E-2</c:v>
                </c:pt>
                <c:pt idx="131">
                  <c:v>8.8366352168146076E-2</c:v>
                </c:pt>
                <c:pt idx="132">
                  <c:v>8.9696287970615227E-2</c:v>
                </c:pt>
                <c:pt idx="133">
                  <c:v>9.103633735333129E-2</c:v>
                </c:pt>
                <c:pt idx="134">
                  <c:v>9.2386500316294279E-2</c:v>
                </c:pt>
                <c:pt idx="135">
                  <c:v>9.3746776859504138E-2</c:v>
                </c:pt>
                <c:pt idx="136">
                  <c:v>9.5117166982960938E-2</c:v>
                </c:pt>
                <c:pt idx="137">
                  <c:v>9.6497670686664649E-2</c:v>
                </c:pt>
                <c:pt idx="138">
                  <c:v>9.7888287970615245E-2</c:v>
                </c:pt>
                <c:pt idx="139">
                  <c:v>9.9289018834812809E-2</c:v>
                </c:pt>
                <c:pt idx="140">
                  <c:v>0.10069986327925722</c:v>
                </c:pt>
                <c:pt idx="141">
                  <c:v>0.1021208213039486</c:v>
                </c:pt>
                <c:pt idx="142">
                  <c:v>0.10355189290888686</c:v>
                </c:pt>
                <c:pt idx="143">
                  <c:v>0.10499307809407205</c:v>
                </c:pt>
                <c:pt idx="144">
                  <c:v>0.10644437685950417</c:v>
                </c:pt>
                <c:pt idx="145">
                  <c:v>0.10790578920518311</c:v>
                </c:pt>
                <c:pt idx="146">
                  <c:v>0.10937731513110907</c:v>
                </c:pt>
                <c:pt idx="147">
                  <c:v>0.11085895463728195</c:v>
                </c:pt>
                <c:pt idx="148">
                  <c:v>0.11235070772370165</c:v>
                </c:pt>
                <c:pt idx="149">
                  <c:v>0.11385257439036833</c:v>
                </c:pt>
                <c:pt idx="150">
                  <c:v>0.11536455463728189</c:v>
                </c:pt>
              </c:numCache>
            </c:numRef>
          </c:yVal>
          <c:smooth val="1"/>
          <c:extLst>
            <c:ext xmlns:c16="http://schemas.microsoft.com/office/drawing/2014/chart" uri="{C3380CC4-5D6E-409C-BE32-E72D297353CC}">
              <c16:uniqueId val="{00000003-1F7F-4636-A580-34FBFDC03A54}"/>
            </c:ext>
          </c:extLst>
        </c:ser>
        <c:dLbls>
          <c:showLegendKey val="0"/>
          <c:showVal val="0"/>
          <c:showCatName val="0"/>
          <c:showSerName val="0"/>
          <c:showPercent val="0"/>
          <c:showBubbleSize val="0"/>
        </c:dLbls>
        <c:axId val="175652224"/>
        <c:axId val="175650688"/>
      </c:scatterChart>
      <c:valAx>
        <c:axId val="175638784"/>
        <c:scaling>
          <c:orientation val="minMax"/>
          <c:max val="6"/>
        </c:scaling>
        <c:delete val="0"/>
        <c:axPos val="b"/>
        <c:majorGridlines/>
        <c:numFmt formatCode="General" sourceLinked="1"/>
        <c:majorTickMark val="out"/>
        <c:minorTickMark val="none"/>
        <c:tickLblPos val="nextTo"/>
        <c:crossAx val="175648768"/>
        <c:crosses val="autoZero"/>
        <c:crossBetween val="midCat"/>
      </c:valAx>
      <c:valAx>
        <c:axId val="175648768"/>
        <c:scaling>
          <c:orientation val="minMax"/>
          <c:max val="100"/>
          <c:min val="60"/>
        </c:scaling>
        <c:delete val="0"/>
        <c:axPos val="l"/>
        <c:majorGridlines/>
        <c:title>
          <c:overlay val="0"/>
          <c:txPr>
            <a:bodyPr rot="-5400000" vert="horz"/>
            <a:lstStyle/>
            <a:p>
              <a:pPr>
                <a:defRPr/>
              </a:pPr>
              <a:endParaRPr lang="en-US"/>
            </a:p>
          </c:txPr>
        </c:title>
        <c:numFmt formatCode="General" sourceLinked="1"/>
        <c:majorTickMark val="out"/>
        <c:minorTickMark val="none"/>
        <c:tickLblPos val="nextTo"/>
        <c:crossAx val="175638784"/>
        <c:crosses val="autoZero"/>
        <c:crossBetween val="midCat"/>
      </c:valAx>
      <c:valAx>
        <c:axId val="175650688"/>
        <c:scaling>
          <c:orientation val="minMax"/>
        </c:scaling>
        <c:delete val="0"/>
        <c:axPos val="r"/>
        <c:numFmt formatCode="General" sourceLinked="1"/>
        <c:majorTickMark val="out"/>
        <c:minorTickMark val="none"/>
        <c:tickLblPos val="nextTo"/>
        <c:crossAx val="175652224"/>
        <c:crosses val="max"/>
        <c:crossBetween val="midCat"/>
      </c:valAx>
      <c:valAx>
        <c:axId val="175652224"/>
        <c:scaling>
          <c:orientation val="minMax"/>
        </c:scaling>
        <c:delete val="1"/>
        <c:axPos val="b"/>
        <c:numFmt formatCode="General" sourceLinked="1"/>
        <c:majorTickMark val="out"/>
        <c:minorTickMark val="none"/>
        <c:tickLblPos val="nextTo"/>
        <c:crossAx val="175650688"/>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27.343300439293387</c:v>
                </c:pt>
                <c:pt idx="1">
                  <c:v>27.343057913012778</c:v>
                </c:pt>
                <c:pt idx="2">
                  <c:v>27.342803971336473</c:v>
                </c:pt>
                <c:pt idx="3">
                  <c:v>27.342538077672039</c:v>
                </c:pt>
                <c:pt idx="4">
                  <c:v>27.342259670272956</c:v>
                </c:pt>
                <c:pt idx="5">
                  <c:v>27.341968161065875</c:v>
                </c:pt>
                <c:pt idx="6">
                  <c:v>27.341662934424306</c:v>
                </c:pt>
                <c:pt idx="7">
                  <c:v>27.341343345885413</c:v>
                </c:pt>
                <c:pt idx="8">
                  <c:v>27.341008720808418</c:v>
                </c:pt>
                <c:pt idx="9">
                  <c:v>27.340658352970593</c:v>
                </c:pt>
                <c:pt idx="10">
                  <c:v>27.340291503099472</c:v>
                </c:pt>
                <c:pt idx="11">
                  <c:v>27.33990739733806</c:v>
                </c:pt>
                <c:pt idx="12">
                  <c:v>27.339505225638867</c:v>
                </c:pt>
                <c:pt idx="13">
                  <c:v>27.339084140085887</c:v>
                </c:pt>
                <c:pt idx="14">
                  <c:v>27.338643253138962</c:v>
                </c:pt>
                <c:pt idx="15">
                  <c:v>27.338181635798978</c:v>
                </c:pt>
                <c:pt idx="16">
                  <c:v>27.337698315689384</c:v>
                </c:pt>
                <c:pt idx="17">
                  <c:v>27.33719227505064</c:v>
                </c:pt>
                <c:pt idx="18">
                  <c:v>27.336662448644017</c:v>
                </c:pt>
                <c:pt idx="19">
                  <c:v>27.336107721560616</c:v>
                </c:pt>
                <c:pt idx="20">
                  <c:v>27.335526926931543</c:v>
                </c:pt>
                <c:pt idx="21">
                  <c:v>27.334918843535192</c:v>
                </c:pt>
                <c:pt idx="22">
                  <c:v>27.334282193296843</c:v>
                </c:pt>
                <c:pt idx="23">
                  <c:v>27.333615638676573</c:v>
                </c:pt>
                <c:pt idx="24">
                  <c:v>27.332917779940281</c:v>
                </c:pt>
                <c:pt idx="25">
                  <c:v>27.332187152309263</c:v>
                </c:pt>
                <c:pt idx="26">
                  <c:v>27.331422222982845</c:v>
                </c:pt>
                <c:pt idx="27">
                  <c:v>27.330621388029584</c:v>
                </c:pt>
                <c:pt idx="28">
                  <c:v>27.329782969140602</c:v>
                </c:pt>
                <c:pt idx="29">
                  <c:v>27.328905210240556</c:v>
                </c:pt>
                <c:pt idx="30">
                  <c:v>27.327986273949492</c:v>
                </c:pt>
                <c:pt idx="31">
                  <c:v>27.327024237889994</c:v>
                </c:pt>
                <c:pt idx="32">
                  <c:v>27.32601709083405</c:v>
                </c:pt>
                <c:pt idx="33">
                  <c:v>27.32496272868195</c:v>
                </c:pt>
                <c:pt idx="34">
                  <c:v>27.323858950268367</c:v>
                </c:pt>
                <c:pt idx="35">
                  <c:v>27.322703452987099</c:v>
                </c:pt>
                <c:pt idx="36">
                  <c:v>27.321493828229659</c:v>
                </c:pt>
                <c:pt idx="37">
                  <c:v>27.320227556628364</c:v>
                </c:pt>
                <c:pt idx="38">
                  <c:v>27.318902003098913</c:v>
                </c:pt>
                <c:pt idx="39">
                  <c:v>27.317514411673184</c:v>
                </c:pt>
                <c:pt idx="40">
                  <c:v>27.316061900116413</c:v>
                </c:pt>
                <c:pt idx="41">
                  <c:v>27.314541454319237</c:v>
                </c:pt>
                <c:pt idx="42">
                  <c:v>27.312949922458717</c:v>
                </c:pt>
                <c:pt idx="43">
                  <c:v>27.311284008918673</c:v>
                </c:pt>
                <c:pt idx="44">
                  <c:v>27.309540267962575</c:v>
                </c:pt>
                <c:pt idx="45">
                  <c:v>27.307715097149959</c:v>
                </c:pt>
                <c:pt idx="46">
                  <c:v>27.30580473048893</c:v>
                </c:pt>
                <c:pt idx="47">
                  <c:v>27.303805231315867</c:v>
                </c:pt>
                <c:pt idx="48">
                  <c:v>27.301712484894537</c:v>
                </c:pt>
                <c:pt idx="49">
                  <c:v>27.299522190726201</c:v>
                </c:pt>
                <c:pt idx="50">
                  <c:v>27.297229854562591</c:v>
                </c:pt>
                <c:pt idx="51">
                  <c:v>27.294830780113799</c:v>
                </c:pt>
                <c:pt idx="52">
                  <c:v>27.292320060443032</c:v>
                </c:pt>
                <c:pt idx="53">
                  <c:v>27.289692569040636</c:v>
                </c:pt>
                <c:pt idx="54">
                  <c:v>27.286942950569507</c:v>
                </c:pt>
                <c:pt idx="55">
                  <c:v>27.284065611275707</c:v>
                </c:pt>
                <c:pt idx="56">
                  <c:v>27.28105470905615</c:v>
                </c:pt>
                <c:pt idx="57">
                  <c:v>27.27790414317823</c:v>
                </c:pt>
                <c:pt idx="58">
                  <c:v>27.274607543644962</c:v>
                </c:pt>
                <c:pt idx="59">
                  <c:v>27.271158260200355</c:v>
                </c:pt>
                <c:pt idx="60">
                  <c:v>27.267549350971301</c:v>
                </c:pt>
                <c:pt idx="61">
                  <c:v>27.263773570741296</c:v>
                </c:pt>
                <c:pt idx="62">
                  <c:v>27.259823358854597</c:v>
                </c:pt>
                <c:pt idx="63">
                  <c:v>27.255690826747845</c:v>
                </c:pt>
                <c:pt idx="64">
                  <c:v>27.251367745110077</c:v>
                </c:pt>
                <c:pt idx="65">
                  <c:v>27.246845530671095</c:v>
                </c:pt>
                <c:pt idx="66">
                  <c:v>27.242115232621419</c:v>
                </c:pt>
                <c:pt idx="67">
                  <c:v>27.237167518667754</c:v>
                </c:pt>
                <c:pt idx="68">
                  <c:v>27.231992660729816</c:v>
                </c:pt>
                <c:pt idx="69">
                  <c:v>27.226580520287293</c:v>
                </c:pt>
                <c:pt idx="70">
                  <c:v>27.220920533386984</c:v>
                </c:pt>
                <c:pt idx="71">
                  <c:v>27.215001695323181</c:v>
                </c:pt>
                <c:pt idx="72">
                  <c:v>27.208812545007099</c:v>
                </c:pt>
                <c:pt idx="73">
                  <c:v>27.202341149044038</c:v>
                </c:pt>
                <c:pt idx="74">
                  <c:v>27.195575085540767</c:v>
                </c:pt>
                <c:pt idx="75">
                  <c:v>27.188501427667802</c:v>
                </c:pt>
                <c:pt idx="76">
                  <c:v>27.181106727007002</c:v>
                </c:pt>
                <c:pt idx="77">
                  <c:v>27.173376996717643</c:v>
                </c:pt>
                <c:pt idx="78">
                  <c:v>27.165297694558859</c:v>
                </c:pt>
                <c:pt idx="79">
                  <c:v>27.156853705811766</c:v>
                </c:pt>
                <c:pt idx="80">
                  <c:v>27.148029326148709</c:v>
                </c:pt>
                <c:pt idx="81">
                  <c:v>27.138808244504055</c:v>
                </c:pt>
                <c:pt idx="82">
                  <c:v>27.129173526004273</c:v>
                </c:pt>
                <c:pt idx="83">
                  <c:v>27.119107595023952</c:v>
                </c:pt>
                <c:pt idx="84">
                  <c:v>27.108592218439519</c:v>
                </c:pt>
                <c:pt idx="85">
                  <c:v>27.097608489158453</c:v>
                </c:pt>
                <c:pt idx="86">
                  <c:v>27.086136810010725</c:v>
                </c:pt>
                <c:pt idx="87">
                  <c:v>27.074156878095224</c:v>
                </c:pt>
                <c:pt idx="88">
                  <c:v>27.061647669682309</c:v>
                </c:pt>
                <c:pt idx="89">
                  <c:v>27.048587425781207</c:v>
                </c:pt>
                <c:pt idx="90">
                  <c:v>27.034953638489263</c:v>
                </c:pt>
                <c:pt idx="91">
                  <c:v>27.020723038248569</c:v>
                </c:pt>
                <c:pt idx="92">
                  <c:v>27.005871582143403</c:v>
                </c:pt>
                <c:pt idx="93">
                  <c:v>26.99037444338105</c:v>
                </c:pt>
                <c:pt idx="94">
                  <c:v>26.97420600210598</c:v>
                </c:pt>
                <c:pt idx="95">
                  <c:v>26.957339837707302</c:v>
                </c:pt>
                <c:pt idx="96">
                  <c:v>26.939748722784806</c:v>
                </c:pt>
                <c:pt idx="97">
                  <c:v>26.921404618950142</c:v>
                </c:pt>
                <c:pt idx="98">
                  <c:v>26.902278674643266</c:v>
                </c:pt>
                <c:pt idx="99">
                  <c:v>26.882341225153933</c:v>
                </c:pt>
                <c:pt idx="100">
                  <c:v>26.861561795041506</c:v>
                </c:pt>
                <c:pt idx="101">
                  <c:v>26.839909103153769</c:v>
                </c:pt>
                <c:pt idx="102">
                  <c:v>26.817351070446627</c:v>
                </c:pt>
                <c:pt idx="103">
                  <c:v>26.793854830811291</c:v>
                </c:pt>
                <c:pt idx="104">
                  <c:v>26.769386745115536</c:v>
                </c:pt>
                <c:pt idx="105">
                  <c:v>26.743912418665559</c:v>
                </c:pt>
                <c:pt idx="106">
                  <c:v>26.717396722292051</c:v>
                </c:pt>
                <c:pt idx="107">
                  <c:v>26.689803817259524</c:v>
                </c:pt>
                <c:pt idx="108">
                  <c:v>26.661097184191654</c:v>
                </c:pt>
                <c:pt idx="109">
                  <c:v>26.631239656195241</c:v>
                </c:pt>
                <c:pt idx="110">
                  <c:v>26.600193456353267</c:v>
                </c:pt>
                <c:pt idx="111">
                  <c:v>26.567920239742925</c:v>
                </c:pt>
                <c:pt idx="112">
                  <c:v>26.534381140115354</c:v>
                </c:pt>
                <c:pt idx="113">
                  <c:v>26.499536821353857</c:v>
                </c:pt>
                <c:pt idx="114">
                  <c:v>26.463347533801127</c:v>
                </c:pt>
                <c:pt idx="115">
                  <c:v>26.425773175518145</c:v>
                </c:pt>
                <c:pt idx="116">
                  <c:v>26.386773358507362</c:v>
                </c:pt>
                <c:pt idx="117">
                  <c:v>26.34630747989479</c:v>
                </c:pt>
                <c:pt idx="118">
                  <c:v>26.304334798030556</c:v>
                </c:pt>
                <c:pt idx="119">
                  <c:v>26.260814513423774</c:v>
                </c:pt>
                <c:pt idx="120">
                  <c:v>26.215705854383668</c:v>
                </c:pt>
                <c:pt idx="121">
                  <c:v>26.168968167192453</c:v>
                </c:pt>
                <c:pt idx="122">
                  <c:v>26.12056101058576</c:v>
                </c:pt>
                <c:pt idx="123">
                  <c:v>26.070444254264832</c:v>
                </c:pt>
                <c:pt idx="124">
                  <c:v>26.018578181113273</c:v>
                </c:pt>
                <c:pt idx="125">
                  <c:v>25.964923592736881</c:v>
                </c:pt>
                <c:pt idx="126">
                  <c:v>25.909441917894249</c:v>
                </c:pt>
                <c:pt idx="127">
                  <c:v>25.852095323330669</c:v>
                </c:pt>
                <c:pt idx="128">
                  <c:v>25.792846826480652</c:v>
                </c:pt>
                <c:pt idx="129">
                  <c:v>25.731660409453049</c:v>
                </c:pt>
                <c:pt idx="130">
                  <c:v>25.668501133671839</c:v>
                </c:pt>
                <c:pt idx="131">
                  <c:v>25.603335254501772</c:v>
                </c:pt>
                <c:pt idx="132">
                  <c:v>25.536130335155075</c:v>
                </c:pt>
                <c:pt idx="133">
                  <c:v>25.466855359146081</c:v>
                </c:pt>
                <c:pt idx="134">
                  <c:v>25.395480840538376</c:v>
                </c:pt>
                <c:pt idx="135">
                  <c:v>25.321978931213525</c:v>
                </c:pt>
                <c:pt idx="136">
                  <c:v>25.246323524386725</c:v>
                </c:pt>
                <c:pt idx="137">
                  <c:v>25.16849035359456</c:v>
                </c:pt>
                <c:pt idx="138">
                  <c:v>25.088457086394627</c:v>
                </c:pt>
                <c:pt idx="139">
                  <c:v>25.006203412035958</c:v>
                </c:pt>
                <c:pt idx="140">
                  <c:v>24.921711122391827</c:v>
                </c:pt>
                <c:pt idx="141">
                  <c:v>24.834964185487184</c:v>
                </c:pt>
                <c:pt idx="142">
                  <c:v>24.745948811001149</c:v>
                </c:pt>
                <c:pt idx="143">
                  <c:v>24.654653507185348</c:v>
                </c:pt>
                <c:pt idx="144">
                  <c:v>24.561069128704904</c:v>
                </c:pt>
                <c:pt idx="145">
                  <c:v>24.465188914981944</c:v>
                </c:pt>
                <c:pt idx="146">
                  <c:v>24.367008518703265</c:v>
                </c:pt>
                <c:pt idx="147">
                  <c:v>24.266526024237361</c:v>
                </c:pt>
                <c:pt idx="148">
                  <c:v>24.163741955796908</c:v>
                </c:pt>
                <c:pt idx="149">
                  <c:v>24.058659275272714</c:v>
                </c:pt>
                <c:pt idx="150">
                  <c:v>23.951283369759089</c:v>
                </c:pt>
                <c:pt idx="151">
                  <c:v>23.841622028883481</c:v>
                </c:pt>
                <c:pt idx="152">
                  <c:v>23.729685412142118</c:v>
                </c:pt>
                <c:pt idx="153">
                  <c:v>23.615486006533125</c:v>
                </c:pt>
                <c:pt idx="154">
                  <c:v>23.499038574860698</c:v>
                </c:pt>
                <c:pt idx="155">
                  <c:v>23.38036009516248</c:v>
                </c:pt>
                <c:pt idx="156">
                  <c:v>23.259469691781355</c:v>
                </c:pt>
                <c:pt idx="157">
                  <c:v>23.136388558668422</c:v>
                </c:pt>
                <c:pt idx="158">
                  <c:v>23.011139875558058</c:v>
                </c:pt>
                <c:pt idx="159">
                  <c:v>22.883748717700705</c:v>
                </c:pt>
                <c:pt idx="160">
                  <c:v>22.754241959877568</c:v>
                </c:pt>
                <c:pt idx="161">
                  <c:v>22.622648175447711</c:v>
                </c:pt>
                <c:pt idx="162">
                  <c:v>22.488997531193906</c:v>
                </c:pt>
                <c:pt idx="163">
                  <c:v>22.353321678744457</c:v>
                </c:pt>
                <c:pt idx="164">
                  <c:v>22.215653643345632</c:v>
                </c:pt>
                <c:pt idx="165">
                  <c:v>22.076027710748356</c:v>
                </c:pt>
                <c:pt idx="166">
                  <c:v>21.934479312957524</c:v>
                </c:pt>
                <c:pt idx="167">
                  <c:v>21.791044913565361</c:v>
                </c:pt>
                <c:pt idx="168">
                  <c:v>21.645761893359548</c:v>
                </c:pt>
                <c:pt idx="169">
                  <c:v>21.498668436858374</c:v>
                </c:pt>
                <c:pt idx="170">
                  <c:v>21.349803420383697</c:v>
                </c:pt>
                <c:pt idx="171">
                  <c:v>21.199206302236998</c:v>
                </c:pt>
                <c:pt idx="172">
                  <c:v>21.046917015492653</c:v>
                </c:pt>
                <c:pt idx="173">
                  <c:v>20.892975863873247</c:v>
                </c:pt>
                <c:pt idx="174">
                  <c:v>20.737423421118017</c:v>
                </c:pt>
                <c:pt idx="175">
                  <c:v>20.580300434203277</c:v>
                </c:pt>
                <c:pt idx="176">
                  <c:v>20.421647730719808</c:v>
                </c:pt>
                <c:pt idx="177">
                  <c:v>20.261506130661804</c:v>
                </c:pt>
                <c:pt idx="178">
                  <c:v>20.099916362829205</c:v>
                </c:pt>
                <c:pt idx="179">
                  <c:v>19.936918986000393</c:v>
                </c:pt>
                <c:pt idx="180">
                  <c:v>19.772554314981871</c:v>
                </c:pt>
                <c:pt idx="181">
                  <c:v>19.606862351602715</c:v>
                </c:pt>
                <c:pt idx="182">
                  <c:v>19.439882720677716</c:v>
                </c:pt>
                <c:pt idx="183">
                  <c:v>19.271654610928973</c:v>
                </c:pt>
                <c:pt idx="184">
                  <c:v>19.102216720820408</c:v>
                </c:pt>
                <c:pt idx="185">
                  <c:v>18.931607209230116</c:v>
                </c:pt>
                <c:pt idx="186">
                  <c:v>18.759863650859057</c:v>
                </c:pt>
                <c:pt idx="187">
                  <c:v>18.587022996250958</c:v>
                </c:pt>
                <c:pt idx="188">
                  <c:v>18.413121536277458</c:v>
                </c:pt>
                <c:pt idx="189">
                  <c:v>18.238194870927721</c:v>
                </c:pt>
                <c:pt idx="190">
                  <c:v>18.06227788222575</c:v>
                </c:pt>
                <c:pt idx="191">
                  <c:v>17.885404711088309</c:v>
                </c:pt>
                <c:pt idx="192">
                  <c:v>17.707608737929426</c:v>
                </c:pt>
                <c:pt idx="193">
                  <c:v>17.528922566808692</c:v>
                </c:pt>
                <c:pt idx="194">
                  <c:v>17.349378012919964</c:v>
                </c:pt>
                <c:pt idx="195">
                  <c:v>17.169006093213014</c:v>
                </c:pt>
                <c:pt idx="196">
                  <c:v>16.987837019942567</c:v>
                </c:pt>
                <c:pt idx="197">
                  <c:v>16.805900196939696</c:v>
                </c:pt>
                <c:pt idx="198">
                  <c:v>16.62322421840414</c:v>
                </c:pt>
                <c:pt idx="199">
                  <c:v>16.439836870021264</c:v>
                </c:pt>
                <c:pt idx="200">
                  <c:v>16.255765132210968</c:v>
                </c:pt>
                <c:pt idx="201">
                  <c:v>16.07103518532443</c:v>
                </c:pt>
                <c:pt idx="202">
                  <c:v>15.885672416608582</c:v>
                </c:pt>
                <c:pt idx="203">
                  <c:v>15.699701428769098</c:v>
                </c:pt>
                <c:pt idx="204">
                  <c:v>15.51314604996781</c:v>
                </c:pt>
                <c:pt idx="205">
                  <c:v>15.326029345099567</c:v>
                </c:pt>
                <c:pt idx="206">
                  <c:v>15.138373628202388</c:v>
                </c:pt>
                <c:pt idx="207">
                  <c:v>14.950200475862916</c:v>
                </c:pt>
                <c:pt idx="208">
                  <c:v>14.761530741486945</c:v>
                </c:pt>
                <c:pt idx="209">
                  <c:v>14.57238457031451</c:v>
                </c:pt>
                <c:pt idx="210">
                  <c:v>14.38278141506588</c:v>
                </c:pt>
                <c:pt idx="211">
                  <c:v>14.192740052114466</c:v>
                </c:pt>
                <c:pt idx="212">
                  <c:v>14.002278598088772</c:v>
                </c:pt>
                <c:pt idx="213">
                  <c:v>13.811414526814453</c:v>
                </c:pt>
                <c:pt idx="214">
                  <c:v>13.620164686514551</c:v>
                </c:pt>
                <c:pt idx="215">
                  <c:v>13.428545317192782</c:v>
                </c:pt>
                <c:pt idx="216">
                  <c:v>13.236572068131236</c:v>
                </c:pt>
                <c:pt idx="217">
                  <c:v>13.044260015441118</c:v>
                </c:pt>
                <c:pt idx="218">
                  <c:v>12.851623679610388</c:v>
                </c:pt>
                <c:pt idx="219">
                  <c:v>12.65867704299788</c:v>
                </c:pt>
                <c:pt idx="220">
                  <c:v>12.465433567229294</c:v>
                </c:pt>
                <c:pt idx="221">
                  <c:v>12.271906210455327</c:v>
                </c:pt>
                <c:pt idx="222">
                  <c:v>12.078107444436606</c:v>
                </c:pt>
                <c:pt idx="223">
                  <c:v>11.884049271424708</c:v>
                </c:pt>
                <c:pt idx="224">
                  <c:v>11.689743240812732</c:v>
                </c:pt>
                <c:pt idx="225">
                  <c:v>11.49520046553253</c:v>
                </c:pt>
                <c:pt idx="226">
                  <c:v>11.30043163817855</c:v>
                </c:pt>
                <c:pt idx="227">
                  <c:v>11.105447046843624</c:v>
                </c:pt>
                <c:pt idx="228">
                  <c:v>10.910256590651857</c:v>
                </c:pt>
                <c:pt idx="229">
                  <c:v>10.71486979497843</c:v>
                </c:pt>
                <c:pt idx="230">
                  <c:v>10.519295826349655</c:v>
                </c:pt>
                <c:pt idx="231">
                  <c:v>10.323543507015305</c:v>
                </c:pt>
                <c:pt idx="232">
                  <c:v>10.127621329191772</c:v>
                </c:pt>
                <c:pt idx="233">
                  <c:v>9.9315374689719391</c:v>
                </c:pt>
                <c:pt idx="234">
                  <c:v>9.7352997999042845</c:v>
                </c:pt>
                <c:pt idx="235">
                  <c:v>9.5389159062398097</c:v>
                </c:pt>
                <c:pt idx="236">
                  <c:v>9.342393095851742</c:v>
                </c:pt>
                <c:pt idx="237">
                  <c:v>9.1457384128310686</c:v>
                </c:pt>
                <c:pt idx="238">
                  <c:v>8.9489586497630125</c:v>
                </c:pt>
                <c:pt idx="239">
                  <c:v>8.7520603596909581</c:v>
                </c:pt>
                <c:pt idx="240">
                  <c:v>8.5550498677745548</c:v>
                </c:pt>
                <c:pt idx="241">
                  <c:v>8.3579332826495722</c:v>
                </c:pt>
                <c:pt idx="242">
                  <c:v>8.1607165074983072</c:v>
                </c:pt>
                <c:pt idx="243">
                  <c:v>7.9634052508396556</c:v>
                </c:pt>
                <c:pt idx="244">
                  <c:v>7.7660050370481217</c:v>
                </c:pt>
                <c:pt idx="245">
                  <c:v>7.5685212166116376</c:v>
                </c:pt>
                <c:pt idx="246">
                  <c:v>7.3709589761393657</c:v>
                </c:pt>
                <c:pt idx="247">
                  <c:v>7.173323348129248</c:v>
                </c:pt>
                <c:pt idx="248">
                  <c:v>6.9756192205077401</c:v>
                </c:pt>
                <c:pt idx="249">
                  <c:v>6.7778513459509382</c:v>
                </c:pt>
                <c:pt idx="250">
                  <c:v>6.5800243510011409</c:v>
                </c:pt>
                <c:pt idx="251">
                  <c:v>6.3821427449888741</c:v>
                </c:pt>
                <c:pt idx="252">
                  <c:v>6.1842109287719582</c:v>
                </c:pt>
                <c:pt idx="253">
                  <c:v>5.9862332033052876</c:v>
                </c:pt>
                <c:pt idx="254">
                  <c:v>5.7882137780516993</c:v>
                </c:pt>
                <c:pt idx="255">
                  <c:v>5.5901567792463958</c:v>
                </c:pt>
                <c:pt idx="256">
                  <c:v>5.3920662580285681</c:v>
                </c:pt>
                <c:pt idx="257">
                  <c:v>5.1939461984500035</c:v>
                </c:pt>
                <c:pt idx="258">
                  <c:v>4.9958005253747295</c:v>
                </c:pt>
                <c:pt idx="259">
                  <c:v>4.7976331122818303</c:v>
                </c:pt>
                <c:pt idx="260">
                  <c:v>4.5994477889823511</c:v>
                </c:pt>
                <c:pt idx="261">
                  <c:v>4.4012483492648862</c:v>
                </c:pt>
                <c:pt idx="262">
                  <c:v>4.2030385584800563</c:v>
                </c:pt>
                <c:pt idx="263">
                  <c:v>4.0048221610764871</c:v>
                </c:pt>
                <c:pt idx="264">
                  <c:v>3.8066028881028902</c:v>
                </c:pt>
                <c:pt idx="265">
                  <c:v>3.608384464684967</c:v>
                </c:pt>
                <c:pt idx="266">
                  <c:v>3.4101706174920068</c:v>
                </c:pt>
                <c:pt idx="267">
                  <c:v>3.2119650822044554</c:v>
                </c:pt>
                <c:pt idx="268">
                  <c:v>3.01377161099514</c:v>
                </c:pt>
                <c:pt idx="269">
                  <c:v>2.81559398003618</c:v>
                </c:pt>
                <c:pt idx="270">
                  <c:v>2.6174359970432022</c:v>
                </c:pt>
                <c:pt idx="271">
                  <c:v>2.4193015088698426</c:v>
                </c:pt>
                <c:pt idx="272">
                  <c:v>2.2211944091657281</c:v>
                </c:pt>
                <c:pt idx="273">
                  <c:v>2.0231186461067874</c:v>
                </c:pt>
                <c:pt idx="274">
                  <c:v>1.8250782302135344</c:v>
                </c:pt>
                <c:pt idx="275">
                  <c:v>1.6270772422677524</c:v>
                </c:pt>
                <c:pt idx="276">
                  <c:v>1.4291198413393527</c:v>
                </c:pt>
                <c:pt idx="277">
                  <c:v>1.2312102729359566</c:v>
                </c:pt>
                <c:pt idx="278">
                  <c:v>1.0333528772873075</c:v>
                </c:pt>
                <c:pt idx="279">
                  <c:v>0.83555209777531436</c:v>
                </c:pt>
                <c:pt idx="280">
                  <c:v>0.63781248952267244</c:v>
                </c:pt>
                <c:pt idx="281">
                  <c:v>0.44013872815007954</c:v>
                </c:pt>
                <c:pt idx="282">
                  <c:v>0.24253561871551479</c:v>
                </c:pt>
                <c:pt idx="283">
                  <c:v>4.5008104844249136E-2</c:v>
                </c:pt>
                <c:pt idx="284">
                  <c:v>-0.15243872193674113</c:v>
                </c:pt>
                <c:pt idx="285">
                  <c:v>-0.34979961265124754</c:v>
                </c:pt>
                <c:pt idx="286">
                  <c:v>-0.54706915110199628</c:v>
                </c:pt>
                <c:pt idx="287">
                  <c:v>-0.74424174386371167</c:v>
                </c:pt>
                <c:pt idx="288">
                  <c:v>-0.94131161003288577</c:v>
                </c:pt>
                <c:pt idx="289">
                  <c:v>-1.1382727707227449</c:v>
                </c:pt>
                <c:pt idx="290">
                  <c:v>-1.3351190382972491</c:v>
                </c:pt>
                <c:pt idx="291">
                  <c:v>-1.5318440053334301</c:v>
                </c:pt>
                <c:pt idx="292">
                  <c:v>-1.7284410333058819</c:v>
                </c:pt>
                <c:pt idx="293">
                  <c:v>-1.9249032409866687</c:v>
                </c:pt>
                <c:pt idx="294">
                  <c:v>-2.1212234925535176</c:v>
                </c:pt>
                <c:pt idx="295">
                  <c:v>-2.3173943854023764</c:v>
                </c:pt>
                <c:pt idx="296">
                  <c:v>-2.5134082376598399</c:v>
                </c:pt>
                <c:pt idx="297">
                  <c:v>-2.7092570753923146</c:v>
                </c:pt>
                <c:pt idx="298">
                  <c:v>-2.9049326195111052</c:v>
                </c:pt>
                <c:pt idx="299">
                  <c:v>-3.1004262723725065</c:v>
                </c:pt>
                <c:pt idx="300">
                  <c:v>-3.2957291040750274</c:v>
                </c:pt>
                <c:pt idx="301">
                  <c:v>-3.4908318384565273</c:v>
                </c:pt>
                <c:pt idx="302">
                  <c:v>-3.6857248387969954</c:v>
                </c:pt>
                <c:pt idx="303">
                  <c:v>-3.8803980932335813</c:v>
                </c:pt>
                <c:pt idx="304">
                  <c:v>-4.074841199898521</c:v>
                </c:pt>
                <c:pt idx="305">
                  <c:v>-4.2690433517912476</c:v>
                </c:pt>
                <c:pt idx="306">
                  <c:v>-4.4629933214005364</c:v>
                </c:pt>
                <c:pt idx="307">
                  <c:v>-4.6566794450940012</c:v>
                </c:pt>
                <c:pt idx="308">
                  <c:v>-4.8500896072972397</c:v>
                </c:pt>
                <c:pt idx="309">
                  <c:v>-5.0432112244866358</c:v>
                </c:pt>
                <c:pt idx="310">
                  <c:v>-5.2360312290251212</c:v>
                </c:pt>
                <c:pt idx="311">
                  <c:v>-5.4285360528737439</c:v>
                </c:pt>
                <c:pt idx="312">
                  <c:v>-5.620711611216306</c:v>
                </c:pt>
                <c:pt idx="313">
                  <c:v>-5.8125432860395456</c:v>
                </c:pt>
                <c:pt idx="314">
                  <c:v>-6.0040159097154735</c:v>
                </c:pt>
                <c:pt idx="315">
                  <c:v>-6.1951137486387218</c:v>
                </c:pt>
                <c:pt idx="316">
                  <c:v>-6.3858204869777433</c:v>
                </c:pt>
                <c:pt idx="317">
                  <c:v>-6.5761192106032986</c:v>
                </c:pt>
                <c:pt idx="318">
                  <c:v>-6.765992391265522</c:v>
                </c:pt>
                <c:pt idx="319">
                  <c:v>-6.9554218710973368</c:v>
                </c:pt>
                <c:pt idx="320">
                  <c:v>-7.144388847527571</c:v>
                </c:pt>
                <c:pt idx="321">
                  <c:v>-7.3328738586969049</c:v>
                </c:pt>
                <c:pt idx="322">
                  <c:v>-7.52085676947405</c:v>
                </c:pt>
                <c:pt idx="323">
                  <c:v>-7.7083167581809366</c:v>
                </c:pt>
                <c:pt idx="324">
                  <c:v>-7.8952323041407135</c:v>
                </c:pt>
                <c:pt idx="325">
                  <c:v>-8.0815811761714045</c:v>
                </c:pt>
                <c:pt idx="326">
                  <c:v>-8.267340422156833</c:v>
                </c:pt>
                <c:pt idx="327">
                  <c:v>-8.4524863598336371</c:v>
                </c:pt>
                <c:pt idx="328">
                  <c:v>-8.6369945689417644</c:v>
                </c:pt>
                <c:pt idx="329">
                  <c:v>-8.8208398848940703</c:v>
                </c:pt>
                <c:pt idx="330">
                  <c:v>-9.003996394126716</c:v>
                </c:pt>
                <c:pt idx="331">
                  <c:v>-9.1864374313020924</c:v>
                </c:pt>
                <c:pt idx="332">
                  <c:v>-9.3681355785399205</c:v>
                </c:pt>
                <c:pt idx="333">
                  <c:v>-9.5490626668607064</c:v>
                </c:pt>
                <c:pt idx="334">
                  <c:v>-9.7291897800288538</c:v>
                </c:pt>
                <c:pt idx="335">
                  <c:v>-9.9084872609898724</c:v>
                </c:pt>
                <c:pt idx="336">
                  <c:v>-10.086924721095798</c:v>
                </c:pt>
                <c:pt idx="337">
                  <c:v>-10.264471052319315</c:v>
                </c:pt>
                <c:pt idx="338">
                  <c:v>-10.44109444265321</c:v>
                </c:pt>
                <c:pt idx="339">
                  <c:v>-10.616762394892875</c:v>
                </c:pt>
                <c:pt idx="340">
                  <c:v>-10.79144174899656</c:v>
                </c:pt>
                <c:pt idx="341">
                  <c:v>-10.965098708211301</c:v>
                </c:pt>
                <c:pt idx="342">
                  <c:v>-11.137698869145218</c:v>
                </c:pt>
                <c:pt idx="343">
                  <c:v>-11.309207255956935</c:v>
                </c:pt>
                <c:pt idx="344">
                  <c:v>-11.479588358819617</c:v>
                </c:pt>
                <c:pt idx="345">
                  <c:v>-11.648806176800594</c:v>
                </c:pt>
                <c:pt idx="346">
                  <c:v>-11.816824265278678</c:v>
                </c:pt>
                <c:pt idx="347">
                  <c:v>-11.983605787998311</c:v>
                </c:pt>
                <c:pt idx="348">
                  <c:v>-12.149113573835059</c:v>
                </c:pt>
                <c:pt idx="349">
                  <c:v>-12.31331017831616</c:v>
                </c:pt>
                <c:pt idx="350">
                  <c:v>-12.476157949907687</c:v>
                </c:pt>
                <c:pt idx="351">
                  <c:v>-12.637619101043398</c:v>
                </c:pt>
                <c:pt idx="352">
                  <c:v>-12.797655783832912</c:v>
                </c:pt>
                <c:pt idx="353">
                  <c:v>-12.956230170338351</c:v>
                </c:pt>
                <c:pt idx="354">
                  <c:v>-13.113304537271995</c:v>
                </c:pt>
                <c:pt idx="355">
                  <c:v>-13.26884135490905</c:v>
                </c:pt>
                <c:pt idx="356">
                  <c:v>-13.4228033799681</c:v>
                </c:pt>
                <c:pt idx="357">
                  <c:v>-13.575153752153025</c:v>
                </c:pt>
                <c:pt idx="358">
                  <c:v>-13.725856094000035</c:v>
                </c:pt>
                <c:pt idx="359">
                  <c:v>-13.874874613618822</c:v>
                </c:pt>
                <c:pt idx="360">
                  <c:v>-14.022174209862875</c:v>
                </c:pt>
                <c:pt idx="361">
                  <c:v>-14.167720579409677</c:v>
                </c:pt>
                <c:pt idx="362">
                  <c:v>-14.311480325184174</c:v>
                </c:pt>
                <c:pt idx="363">
                  <c:v>-14.453421065505612</c:v>
                </c:pt>
                <c:pt idx="364">
                  <c:v>-14.593511543297343</c:v>
                </c:pt>
                <c:pt idx="365">
                  <c:v>-14.731721734657032</c:v>
                </c:pt>
                <c:pt idx="366">
                  <c:v>-14.868022956050213</c:v>
                </c:pt>
                <c:pt idx="367">
                  <c:v>-15.002387969363383</c:v>
                </c:pt>
                <c:pt idx="368">
                  <c:v>-15.134791084030812</c:v>
                </c:pt>
                <c:pt idx="369">
                  <c:v>-15.265208255437695</c:v>
                </c:pt>
                <c:pt idx="370">
                  <c:v>-15.39361717879833</c:v>
                </c:pt>
                <c:pt idx="371">
                  <c:v>-15.519997377715786</c:v>
                </c:pt>
                <c:pt idx="372">
                  <c:v>-15.644330286642052</c:v>
                </c:pt>
                <c:pt idx="373">
                  <c:v>-15.766599326488288</c:v>
                </c:pt>
                <c:pt idx="374">
                  <c:v>-15.886789972669158</c:v>
                </c:pt>
                <c:pt idx="375">
                  <c:v>-16.004889814912758</c:v>
                </c:pt>
                <c:pt idx="376">
                  <c:v>-16.120888608226686</c:v>
                </c:pt>
                <c:pt idx="377">
                  <c:v>-16.23477831447607</c:v>
                </c:pt>
                <c:pt idx="378">
                  <c:v>-16.346553134107502</c:v>
                </c:pt>
                <c:pt idx="379">
                  <c:v>-16.456209527636144</c:v>
                </c:pt>
                <c:pt idx="380">
                  <c:v>-16.563746226606149</c:v>
                </c:pt>
                <c:pt idx="381">
                  <c:v>-16.669164233830884</c:v>
                </c:pt>
                <c:pt idx="382">
                  <c:v>-16.772466812824529</c:v>
                </c:pt>
                <c:pt idx="383">
                  <c:v>-16.873659466439559</c:v>
                </c:pt>
                <c:pt idx="384">
                  <c:v>-16.972749904834338</c:v>
                </c:pt>
                <c:pt idx="385">
                  <c:v>-17.069748003002349</c:v>
                </c:pt>
                <c:pt idx="386">
                  <c:v>-17.164665748199269</c:v>
                </c:pt>
                <c:pt idx="387">
                  <c:v>-17.257517177709317</c:v>
                </c:pt>
                <c:pt idx="388">
                  <c:v>-17.348318307490352</c:v>
                </c:pt>
                <c:pt idx="389">
                  <c:v>-17.43708705232677</c:v>
                </c:pt>
                <c:pt idx="390">
                  <c:v>-17.52384313820842</c:v>
                </c:pt>
                <c:pt idx="391">
                  <c:v>-17.608608007725305</c:v>
                </c:pt>
                <c:pt idx="392">
                  <c:v>-17.691404719336557</c:v>
                </c:pt>
                <c:pt idx="393">
                  <c:v>-17.772257841424782</c:v>
                </c:pt>
                <c:pt idx="394">
                  <c:v>-17.8511933420925</c:v>
                </c:pt>
                <c:pt idx="395">
                  <c:v>-17.92823847568652</c:v>
                </c:pt>
                <c:pt idx="396">
                  <c:v>-18.00342166705418</c:v>
                </c:pt>
                <c:pt idx="397">
                  <c:v>-18.076772394543354</c:v>
                </c:pt>
                <c:pt idx="398">
                  <c:v>-18.148321072747894</c:v>
                </c:pt>
                <c:pt idx="399">
                  <c:v>-18.218098935983203</c:v>
                </c:pt>
                <c:pt idx="400">
                  <c:v>-18.286137923443079</c:v>
                </c:pt>
                <c:pt idx="401">
                  <c:v>-18.352470566947318</c:v>
                </c:pt>
                <c:pt idx="402">
                  <c:v>-18.417129882135452</c:v>
                </c:pt>
                <c:pt idx="403">
                  <c:v>-18.480149263898237</c:v>
                </c:pt>
                <c:pt idx="404">
                  <c:v>-18.541562386768298</c:v>
                </c:pt>
                <c:pt idx="405">
                  <c:v>-18.601403110910418</c:v>
                </c:pt>
                <c:pt idx="406">
                  <c:v>-18.659705394268801</c:v>
                </c:pt>
                <c:pt idx="407">
                  <c:v>-18.716503211336207</c:v>
                </c:pt>
                <c:pt idx="408">
                  <c:v>-18.771830478920887</c:v>
                </c:pt>
                <c:pt idx="409">
                  <c:v>-18.825720989188298</c:v>
                </c:pt>
                <c:pt idx="410">
                  <c:v>-18.878208350162911</c:v>
                </c:pt>
                <c:pt idx="411">
                  <c:v>-18.92932593377957</c:v>
                </c:pt>
                <c:pt idx="412">
                  <c:v>-18.979106831484497</c:v>
                </c:pt>
                <c:pt idx="413">
                  <c:v>-19.02758381729792</c:v>
                </c:pt>
                <c:pt idx="414">
                  <c:v>-19.07478931816653</c:v>
                </c:pt>
                <c:pt idx="415">
                  <c:v>-19.120755391363353</c:v>
                </c:pt>
                <c:pt idx="416">
                  <c:v>-19.165513708617617</c:v>
                </c:pt>
                <c:pt idx="417">
                  <c:v>-19.209095546602136</c:v>
                </c:pt>
                <c:pt idx="418">
                  <c:v>-19.251531783350853</c:v>
                </c:pt>
                <c:pt idx="419">
                  <c:v>-19.29285290013982</c:v>
                </c:pt>
                <c:pt idx="420">
                  <c:v>-19.333088988327752</c:v>
                </c:pt>
                <c:pt idx="421">
                  <c:v>-19.372269760634605</c:v>
                </c:pt>
                <c:pt idx="422">
                  <c:v>-19.410424566318497</c:v>
                </c:pt>
                <c:pt idx="423">
                  <c:v>-19.447582409708197</c:v>
                </c:pt>
                <c:pt idx="424">
                  <c:v>-19.483771971554741</c:v>
                </c:pt>
                <c:pt idx="425">
                  <c:v>-19.519021632675351</c:v>
                </c:pt>
                <c:pt idx="426">
                  <c:v>-19.553359499384875</c:v>
                </c:pt>
                <c:pt idx="427">
                  <c:v>-19.586813430236063</c:v>
                </c:pt>
                <c:pt idx="428">
                  <c:v>-19.619411063622788</c:v>
                </c:pt>
                <c:pt idx="429">
                  <c:v>-19.651179845835994</c:v>
                </c:pt>
                <c:pt idx="430">
                  <c:v>-19.682147059205505</c:v>
                </c:pt>
                <c:pt idx="431">
                  <c:v>-19.712339850001513</c:v>
                </c:pt>
                <c:pt idx="432">
                  <c:v>-19.74178525581555</c:v>
                </c:pt>
                <c:pt idx="433">
                  <c:v>-19.770510232187892</c:v>
                </c:pt>
                <c:pt idx="434">
                  <c:v>-19.798541678289773</c:v>
                </c:pt>
                <c:pt idx="435">
                  <c:v>-19.825906461517739</c:v>
                </c:pt>
                <c:pt idx="436">
                  <c:v>-19.852631440895962</c:v>
                </c:pt>
                <c:pt idx="437">
                  <c:v>-19.87874348922254</c:v>
                </c:pt>
                <c:pt idx="438">
                  <c:v>-19.904269513936001</c:v>
                </c:pt>
                <c:pt idx="439">
                  <c:v>-19.929236476705004</c:v>
                </c:pt>
                <c:pt idx="440">
                  <c:v>-19.953671411780903</c:v>
                </c:pt>
                <c:pt idx="441">
                  <c:v>-19.977601443170759</c:v>
                </c:pt>
                <c:pt idx="442">
                  <c:v>-20.001053800716747</c:v>
                </c:pt>
                <c:pt idx="443">
                  <c:v>-20.024055835178466</c:v>
                </c:pt>
                <c:pt idx="444">
                  <c:v>-20.046635032432917</c:v>
                </c:pt>
                <c:pt idx="445">
                  <c:v>-20.068819026912145</c:v>
                </c:pt>
                <c:pt idx="446">
                  <c:v>-20.090635614407205</c:v>
                </c:pt>
                <c:pt idx="447">
                  <c:v>-20.112112764365232</c:v>
                </c:pt>
                <c:pt idx="448">
                  <c:v>-20.133278631809709</c:v>
                </c:pt>
                <c:pt idx="449">
                  <c:v>-20.154161569005716</c:v>
                </c:pt>
                <c:pt idx="450">
                  <c:v>-20.174790136987689</c:v>
                </c:pt>
                <c:pt idx="451">
                  <c:v>-20.195193117057769</c:v>
                </c:pt>
                <c:pt idx="452">
                  <c:v>-20.215399522352534</c:v>
                </c:pt>
                <c:pt idx="453">
                  <c:v>-20.235438609562269</c:v>
                </c:pt>
                <c:pt idx="454">
                  <c:v>-20.255339890874176</c:v>
                </c:pt>
                <c:pt idx="455">
                  <c:v>-20.275133146197909</c:v>
                </c:pt>
                <c:pt idx="456">
                  <c:v>-20.294848435713099</c:v>
                </c:pt>
                <c:pt idx="457">
                  <c:v>-20.314516112765038</c:v>
                </c:pt>
                <c:pt idx="458">
                  <c:v>-20.334166837119522</c:v>
                </c:pt>
                <c:pt idx="459">
                  <c:v>-20.353831588567793</c:v>
                </c:pt>
                <c:pt idx="460">
                  <c:v>-20.373541680860537</c:v>
                </c:pt>
                <c:pt idx="461">
                  <c:v>-20.393328775930506</c:v>
                </c:pt>
                <c:pt idx="462">
                  <c:v>-20.4132248983497</c:v>
                </c:pt>
                <c:pt idx="463">
                  <c:v>-20.433262449949922</c:v>
                </c:pt>
                <c:pt idx="464">
                  <c:v>-20.453474224520797</c:v>
                </c:pt>
                <c:pt idx="465">
                  <c:v>-20.473893422485737</c:v>
                </c:pt>
                <c:pt idx="466">
                  <c:v>-20.494553665439884</c:v>
                </c:pt>
                <c:pt idx="467">
                  <c:v>-20.515489010422723</c:v>
                </c:pt>
                <c:pt idx="468">
                  <c:v>-20.536733963783153</c:v>
                </c:pt>
                <c:pt idx="469">
                  <c:v>-20.558323494483627</c:v>
                </c:pt>
                <c:pt idx="470">
                  <c:v>-20.580293046677014</c:v>
                </c:pt>
                <c:pt idx="471">
                  <c:v>-20.602678551379615</c:v>
                </c:pt>
                <c:pt idx="472">
                  <c:v>-20.625516437052184</c:v>
                </c:pt>
                <c:pt idx="473">
                  <c:v>-20.648843638892778</c:v>
                </c:pt>
                <c:pt idx="474">
                  <c:v>-20.672697606634745</c:v>
                </c:pt>
                <c:pt idx="475">
                  <c:v>-20.697116310636318</c:v>
                </c:pt>
                <c:pt idx="476">
                  <c:v>-20.722138246041219</c:v>
                </c:pt>
                <c:pt idx="477">
                  <c:v>-20.747802434783754</c:v>
                </c:pt>
                <c:pt idx="478">
                  <c:v>-20.774148425208057</c:v>
                </c:pt>
                <c:pt idx="479">
                  <c:v>-20.801216289066851</c:v>
                </c:pt>
                <c:pt idx="480">
                  <c:v>-20.829046615665355</c:v>
                </c:pt>
                <c:pt idx="481">
                  <c:v>-20.857680502914665</c:v>
                </c:pt>
                <c:pt idx="482">
                  <c:v>-20.887159545061053</c:v>
                </c:pt>
                <c:pt idx="483">
                  <c:v>-20.917525816864092</c:v>
                </c:pt>
                <c:pt idx="484">
                  <c:v>-20.948821853998897</c:v>
                </c:pt>
                <c:pt idx="485">
                  <c:v>-20.981090629469637</c:v>
                </c:pt>
                <c:pt idx="486">
                  <c:v>-21.014375525833543</c:v>
                </c:pt>
                <c:pt idx="487">
                  <c:v>-21.048720303044686</c:v>
                </c:pt>
                <c:pt idx="488">
                  <c:v>-21.084169061749254</c:v>
                </c:pt>
                <c:pt idx="489">
                  <c:v>-21.120766201879434</c:v>
                </c:pt>
                <c:pt idx="490">
                  <c:v>-21.158556376422023</c:v>
                </c:pt>
                <c:pt idx="491">
                  <c:v>-21.197584440258311</c:v>
                </c:pt>
                <c:pt idx="492">
                  <c:v>-21.237895394008067</c:v>
                </c:pt>
                <c:pt idx="493">
                  <c:v>-21.279534322839353</c:v>
                </c:pt>
                <c:pt idx="494">
                  <c:v>-21.322546330246979</c:v>
                </c:pt>
                <c:pt idx="495">
                  <c:v>-21.366976466838395</c:v>
                </c:pt>
                <c:pt idx="496">
                  <c:v>-21.412869654212887</c:v>
                </c:pt>
                <c:pt idx="497">
                  <c:v>-21.460270604063062</c:v>
                </c:pt>
                <c:pt idx="498">
                  <c:v>-21.50922373267786</c:v>
                </c:pt>
                <c:pt idx="499">
                  <c:v>-21.559773071077757</c:v>
                </c:pt>
                <c:pt idx="500">
                  <c:v>-21.611962171060696</c:v>
                </c:pt>
                <c:pt idx="501">
                  <c:v>-21.665834007497757</c:v>
                </c:pt>
                <c:pt idx="502">
                  <c:v>-21.721430877264471</c:v>
                </c:pt>
                <c:pt idx="503">
                  <c:v>-21.778794295251807</c:v>
                </c:pt>
                <c:pt idx="504">
                  <c:v>-21.837964887950939</c:v>
                </c:pt>
                <c:pt idx="505">
                  <c:v>-21.898982285157938</c:v>
                </c:pt>
                <c:pt idx="506">
                  <c:v>-21.961885010391381</c:v>
                </c:pt>
                <c:pt idx="507">
                  <c:v>-22.026710370660652</c:v>
                </c:pt>
                <c:pt idx="508">
                  <c:v>-22.093494346262656</c:v>
                </c:pt>
                <c:pt idx="509">
                  <c:v>-22.162271481317937</c:v>
                </c:pt>
                <c:pt idx="510">
                  <c:v>-22.233074775786829</c:v>
                </c:pt>
                <c:pt idx="511">
                  <c:v>-22.305935579725386</c:v>
                </c:pt>
                <c:pt idx="512">
                  <c:v>-22.380883490555064</c:v>
                </c:pt>
                <c:pt idx="513">
                  <c:v>-22.457946254124352</c:v>
                </c:pt>
                <c:pt idx="514">
                  <c:v>-22.537149670336451</c:v>
                </c:pt>
                <c:pt idx="515">
                  <c:v>-22.618517504101803</c:v>
                </c:pt>
                <c:pt idx="516">
                  <c:v>-22.702071402353951</c:v>
                </c:pt>
                <c:pt idx="517">
                  <c:v>-22.787830817830613</c:v>
                </c:pt>
                <c:pt idx="518">
                  <c:v>-22.875812940282238</c:v>
                </c:pt>
                <c:pt idx="519">
                  <c:v>-22.966032635717649</c:v>
                </c:pt>
                <c:pt idx="520">
                  <c:v>-23.058502394235223</c:v>
                </c:pt>
                <c:pt idx="521">
                  <c:v>-23.153232286921877</c:v>
                </c:pt>
                <c:pt idx="522">
                  <c:v>-23.25022993222511</c:v>
                </c:pt>
                <c:pt idx="523">
                  <c:v>-23.349500472122521</c:v>
                </c:pt>
                <c:pt idx="524">
                  <c:v>-23.451046558327807</c:v>
                </c:pt>
                <c:pt idx="525">
                  <c:v>-23.554868348681314</c:v>
                </c:pt>
                <c:pt idx="526">
                  <c:v>-23.660963513781962</c:v>
                </c:pt>
                <c:pt idx="527">
                  <c:v>-23.769327253823718</c:v>
                </c:pt>
                <c:pt idx="528">
                  <c:v>-23.879952325508608</c:v>
                </c:pt>
                <c:pt idx="529">
                  <c:v>-23.992829078817579</c:v>
                </c:pt>
                <c:pt idx="530">
                  <c:v>-24.107945503331848</c:v>
                </c:pt>
                <c:pt idx="531">
                  <c:v>-24.225287283719183</c:v>
                </c:pt>
                <c:pt idx="532">
                  <c:v>-24.344837863918034</c:v>
                </c:pt>
                <c:pt idx="533">
                  <c:v>-24.466578519488632</c:v>
                </c:pt>
                <c:pt idx="534">
                  <c:v>-24.590488437532784</c:v>
                </c:pt>
                <c:pt idx="535">
                  <c:v>-24.716544803535648</c:v>
                </c:pt>
                <c:pt idx="536">
                  <c:v>-24.844722894436035</c:v>
                </c:pt>
                <c:pt idx="537">
                  <c:v>-24.974996177197969</c:v>
                </c:pt>
                <c:pt idx="538">
                  <c:v>-25.107336412131485</c:v>
                </c:pt>
                <c:pt idx="539">
                  <c:v>-25.241713760193882</c:v>
                </c:pt>
                <c:pt idx="540">
                  <c:v>-25.378096893498316</c:v>
                </c:pt>
                <c:pt idx="541">
                  <c:v>-25.516453108258439</c:v>
                </c:pt>
              </c:numCache>
            </c:numRef>
          </c:yVal>
          <c:smooth val="1"/>
          <c:extLst>
            <c:ext xmlns:c16="http://schemas.microsoft.com/office/drawing/2014/chart" uri="{C3380CC4-5D6E-409C-BE32-E72D297353CC}">
              <c16:uniqueId val="{00000000-803D-44F5-B8E6-A5B9D3091231}"/>
            </c:ext>
          </c:extLst>
        </c:ser>
        <c:dLbls>
          <c:showLegendKey val="0"/>
          <c:showVal val="0"/>
          <c:showCatName val="0"/>
          <c:showSerName val="0"/>
          <c:showPercent val="0"/>
          <c:showBubbleSize val="0"/>
        </c:dLbls>
        <c:axId val="178188288"/>
        <c:axId val="178190208"/>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-1.9824544771349182</c:v>
                </c:pt>
                <c:pt idx="1">
                  <c:v>-2.028594190896142</c:v>
                </c:pt>
                <c:pt idx="2">
                  <c:v>-2.0758059515010037</c:v>
                </c:pt>
                <c:pt idx="3">
                  <c:v>-2.1241145384247426</c:v>
                </c:pt>
                <c:pt idx="4">
                  <c:v>-2.173545294661253</c:v>
                </c:pt>
                <c:pt idx="5">
                  <c:v>-2.224124138876443</c:v>
                </c:pt>
                <c:pt idx="6">
                  <c:v>-2.2758775777757609</c:v>
                </c:pt>
                <c:pt idx="7">
                  <c:v>-2.3288327186860229</c:v>
                </c:pt>
                <c:pt idx="8">
                  <c:v>-2.3830172823512035</c:v>
                </c:pt>
                <c:pt idx="9">
                  <c:v>-2.4384596159418299</c:v>
                </c:pt>
                <c:pt idx="10">
                  <c:v>-2.4951887062767972</c:v>
                </c:pt>
                <c:pt idx="11">
                  <c:v>-2.5532341932563245</c:v>
                </c:pt>
                <c:pt idx="12">
                  <c:v>-2.6126263835041619</c:v>
                </c:pt>
                <c:pt idx="13">
                  <c:v>-2.6733962642165916</c:v>
                </c:pt>
                <c:pt idx="14">
                  <c:v>-2.7355755172152456</c:v>
                </c:pt>
                <c:pt idx="15">
                  <c:v>-2.7991965332005329</c:v>
                </c:pt>
                <c:pt idx="16">
                  <c:v>-2.8642924262007381</c:v>
                </c:pt>
                <c:pt idx="17">
                  <c:v>-2.9308970482126759</c:v>
                </c:pt>
                <c:pt idx="18">
                  <c:v>-2.999045004027701</c:v>
                </c:pt>
                <c:pt idx="19">
                  <c:v>-3.0687716662367248</c:v>
                </c:pt>
                <c:pt idx="20">
                  <c:v>-3.1401131904068351</c:v>
                </c:pt>
                <c:pt idx="21">
                  <c:v>-3.2131065304211877</c:v>
                </c:pt>
                <c:pt idx="22">
                  <c:v>-3.2877894539726071</c:v>
                </c:pt>
                <c:pt idx="23">
                  <c:v>-3.3642005582006775</c:v>
                </c:pt>
                <c:pt idx="24">
                  <c:v>-3.442379285460305</c:v>
                </c:pt>
                <c:pt idx="25">
                  <c:v>-3.5223659392089828</c:v>
                </c:pt>
                <c:pt idx="26">
                  <c:v>-3.6042016999981552</c:v>
                </c:pt>
                <c:pt idx="27">
                  <c:v>-3.687928641553103</c:v>
                </c:pt>
                <c:pt idx="28">
                  <c:v>-3.7735897469236965</c:v>
                </c:pt>
                <c:pt idx="29">
                  <c:v>-3.8612289246867237</c:v>
                </c:pt>
                <c:pt idx="30">
                  <c:v>-3.9508910251793083</c:v>
                </c:pt>
                <c:pt idx="31">
                  <c:v>-4.0426218567398866</c:v>
                </c:pt>
                <c:pt idx="32">
                  <c:v>-4.1364682019318071</c:v>
                </c:pt>
                <c:pt idx="33">
                  <c:v>-4.23247783372305</c:v>
                </c:pt>
                <c:pt idx="34">
                  <c:v>-4.3306995315909891</c:v>
                </c:pt>
                <c:pt idx="35">
                  <c:v>-4.4311830975214672</c:v>
                </c:pt>
                <c:pt idx="36">
                  <c:v>-4.533979371866149</c:v>
                </c:pt>
                <c:pt idx="37">
                  <c:v>-4.6391402490209579</c:v>
                </c:pt>
                <c:pt idx="38">
                  <c:v>-4.7467186928843361</c:v>
                </c:pt>
                <c:pt idx="39">
                  <c:v>-4.8567687520515426</c:v>
                </c:pt>
                <c:pt idx="40">
                  <c:v>-4.9693455746965061</c:v>
                </c:pt>
                <c:pt idx="41">
                  <c:v>-5.0845054230909321</c:v>
                </c:pt>
                <c:pt idx="42">
                  <c:v>-5.2023056877043077</c:v>
                </c:pt>
                <c:pt idx="43">
                  <c:v>-5.3228049008256351</c:v>
                </c:pt>
                <c:pt idx="44">
                  <c:v>-5.4460627496432856</c:v>
                </c:pt>
                <c:pt idx="45">
                  <c:v>-5.5721400887136614</c:v>
                </c:pt>
                <c:pt idx="46">
                  <c:v>-5.7010989517452479</c:v>
                </c:pt>
                <c:pt idx="47">
                  <c:v>-5.8330025626194262</c:v>
                </c:pt>
                <c:pt idx="48">
                  <c:v>-5.9679153455631555</c:v>
                </c:pt>
                <c:pt idx="49">
                  <c:v>-6.1059029343836615</c:v>
                </c:pt>
                <c:pt idx="50">
                  <c:v>-6.2470321806678584</c:v>
                </c:pt>
                <c:pt idx="51">
                  <c:v>-6.3913711608446482</c:v>
                </c:pt>
                <c:pt idx="52">
                  <c:v>-6.5389891819992547</c:v>
                </c:pt>
                <c:pt idx="53">
                  <c:v>-6.6899567863229796</c:v>
                </c:pt>
                <c:pt idx="54">
                  <c:v>-6.8443457540745856</c:v>
                </c:pt>
                <c:pt idx="55">
                  <c:v>-7.0022291049191221</c:v>
                </c:pt>
                <c:pt idx="56">
                  <c:v>-7.1636810975059344</c:v>
                </c:pt>
                <c:pt idx="57">
                  <c:v>-7.3287772271350216</c:v>
                </c:pt>
                <c:pt idx="58">
                  <c:v>-7.4975942213540563</c:v>
                </c:pt>
                <c:pt idx="59">
                  <c:v>-7.6702100333196679</c:v>
                </c:pt>
                <c:pt idx="60">
                  <c:v>-7.846703832744212</c:v>
                </c:pt>
                <c:pt idx="61">
                  <c:v>-8.0271559942435555</c:v>
                </c:pt>
                <c:pt idx="62">
                  <c:v>-8.2116480828863025</c:v>
                </c:pt>
                <c:pt idx="63">
                  <c:v>-8.4002628367389409</c:v>
                </c:pt>
                <c:pt idx="64">
                  <c:v>-8.5930841461866105</c:v>
                </c:pt>
                <c:pt idx="65">
                  <c:v>-8.7901970298022132</c:v>
                </c:pt>
                <c:pt idx="66">
                  <c:v>-8.9916876065203049</c:v>
                </c:pt>
                <c:pt idx="67">
                  <c:v>-9.1976430638666553</c:v>
                </c:pt>
                <c:pt idx="68">
                  <c:v>-9.4081516219777779</c:v>
                </c:pt>
                <c:pt idx="69">
                  <c:v>-9.6233024931359878</c:v>
                </c:pt>
                <c:pt idx="70">
                  <c:v>-9.843185836534504</c:v>
                </c:pt>
                <c:pt idx="71">
                  <c:v>-10.067892707972696</c:v>
                </c:pt>
                <c:pt idx="72">
                  <c:v>-10.297515004174562</c:v>
                </c:pt>
                <c:pt idx="73">
                  <c:v>-10.532145401409883</c:v>
                </c:pt>
                <c:pt idx="74">
                  <c:v>-10.771877288087309</c:v>
                </c:pt>
                <c:pt idx="75">
                  <c:v>-11.016804690981743</c:v>
                </c:pt>
                <c:pt idx="76">
                  <c:v>-11.267022194745214</c:v>
                </c:pt>
                <c:pt idx="77">
                  <c:v>-11.522624854345764</c:v>
                </c:pt>
                <c:pt idx="78">
                  <c:v>-11.783708100071816</c:v>
                </c:pt>
                <c:pt idx="79">
                  <c:v>-12.050367634730161</c:v>
                </c:pt>
                <c:pt idx="80">
                  <c:v>-12.322699322668608</c:v>
                </c:pt>
                <c:pt idx="81">
                  <c:v>-12.600799070244621</c:v>
                </c:pt>
                <c:pt idx="82">
                  <c:v>-12.884762697367105</c:v>
                </c:pt>
                <c:pt idx="83">
                  <c:v>-13.174685799738231</c:v>
                </c:pt>
                <c:pt idx="84">
                  <c:v>-13.470663601426775</c:v>
                </c:pt>
                <c:pt idx="85">
                  <c:v>-13.772790797414848</c:v>
                </c:pt>
                <c:pt idx="86">
                  <c:v>-14.081161385769629</c:v>
                </c:pt>
                <c:pt idx="87">
                  <c:v>-14.395868489106352</c:v>
                </c:pt>
                <c:pt idx="88">
                  <c:v>-14.717004165032177</c:v>
                </c:pt>
                <c:pt idx="89">
                  <c:v>-15.044659205279165</c:v>
                </c:pt>
                <c:pt idx="90">
                  <c:v>-15.378922923268977</c:v>
                </c:pt>
                <c:pt idx="91">
                  <c:v>-15.719882929882512</c:v>
                </c:pt>
                <c:pt idx="92">
                  <c:v>-16.067624897250695</c:v>
                </c:pt>
                <c:pt idx="93">
                  <c:v>-16.422232310429081</c:v>
                </c:pt>
                <c:pt idx="94">
                  <c:v>-16.783786206870992</c:v>
                </c:pt>
                <c:pt idx="95">
                  <c:v>-17.152364903675963</c:v>
                </c:pt>
                <c:pt idx="96">
                  <c:v>-17.528043712659603</c:v>
                </c:pt>
                <c:pt idx="97">
                  <c:v>-17.910894643363353</c:v>
                </c:pt>
                <c:pt idx="98">
                  <c:v>-18.300986094212156</c:v>
                </c:pt>
                <c:pt idx="99">
                  <c:v>-18.698382532115403</c:v>
                </c:pt>
                <c:pt idx="100">
                  <c:v>-19.103144160912173</c:v>
                </c:pt>
                <c:pt idx="101">
                  <c:v>-19.515326579168448</c:v>
                </c:pt>
                <c:pt idx="102">
                  <c:v>-19.934980427955704</c:v>
                </c:pt>
                <c:pt idx="103">
                  <c:v>-20.362151029362643</c:v>
                </c:pt>
                <c:pt idx="104">
                  <c:v>-20.796878016633272</c:v>
                </c:pt>
                <c:pt idx="105">
                  <c:v>-21.239194956959015</c:v>
                </c:pt>
                <c:pt idx="106">
                  <c:v>-21.689128968111618</c:v>
                </c:pt>
                <c:pt idx="107">
                  <c:v>-22.146700330251207</c:v>
                </c:pt>
                <c:pt idx="108">
                  <c:v>-22.611922094410666</c:v>
                </c:pt>
                <c:pt idx="109">
                  <c:v>-23.08479968931881</c:v>
                </c:pt>
                <c:pt idx="110">
                  <c:v>-23.565330528396018</c:v>
                </c:pt>
                <c:pt idx="111">
                  <c:v>-24.053503618919322</c:v>
                </c:pt>
                <c:pt idx="112">
                  <c:v>-24.549299175526109</c:v>
                </c:pt>
                <c:pt idx="113">
                  <c:v>-25.052688240384491</c:v>
                </c:pt>
                <c:pt idx="114">
                  <c:v>-25.563632312516756</c:v>
                </c:pt>
                <c:pt idx="115">
                  <c:v>-26.08208298891444</c:v>
                </c:pt>
                <c:pt idx="116">
                  <c:v>-26.607981620213504</c:v>
                </c:pt>
                <c:pt idx="117">
                  <c:v>-27.141258983828617</c:v>
                </c:pt>
                <c:pt idx="118">
                  <c:v>-27.6818349775432</c:v>
                </c:pt>
                <c:pt idx="119">
                  <c:v>-28.229618336639209</c:v>
                </c:pt>
                <c:pt idx="120">
                  <c:v>-28.784506377708155</c:v>
                </c:pt>
                <c:pt idx="121">
                  <c:v>-29.346384772317517</c:v>
                </c:pt>
                <c:pt idx="122">
                  <c:v>-29.91512735370172</c:v>
                </c:pt>
                <c:pt idx="123">
                  <c:v>-30.490595959622251</c:v>
                </c:pt>
                <c:pt idx="124">
                  <c:v>-31.072640314459917</c:v>
                </c:pt>
                <c:pt idx="125">
                  <c:v>-31.66109795350123</c:v>
                </c:pt>
                <c:pt idx="126">
                  <c:v>-32.255794192225316</c:v>
                </c:pt>
                <c:pt idx="127">
                  <c:v>-32.856542143205139</c:v>
                </c:pt>
                <c:pt idx="128">
                  <c:v>-33.463142782999597</c:v>
                </c:pt>
                <c:pt idx="129">
                  <c:v>-34.075385071138236</c:v>
                </c:pt>
                <c:pt idx="130">
                  <c:v>-34.693046122963274</c:v>
                </c:pt>
                <c:pt idx="131">
                  <c:v>-35.315891437752505</c:v>
                </c:pt>
                <c:pt idx="132">
                  <c:v>-35.943675183118224</c:v>
                </c:pt>
                <c:pt idx="133">
                  <c:v>-36.576140536262862</c:v>
                </c:pt>
                <c:pt idx="134">
                  <c:v>-37.213020082184983</c:v>
                </c:pt>
                <c:pt idx="135">
                  <c:v>-37.854036268449335</c:v>
                </c:pt>
                <c:pt idx="136">
                  <c:v>-38.498901915608108</c:v>
                </c:pt>
                <c:pt idx="137">
                  <c:v>-39.147320781841913</c:v>
                </c:pt>
                <c:pt idx="138">
                  <c:v>-39.798988179848592</c:v>
                </c:pt>
                <c:pt idx="139">
                  <c:v>-40.453591643485076</c:v>
                </c:pt>
                <c:pt idx="140">
                  <c:v>-41.110811641135214</c:v>
                </c:pt>
                <c:pt idx="141">
                  <c:v>-41.77032233228568</c:v>
                </c:pt>
                <c:pt idx="142">
                  <c:v>-42.431792363307558</c:v>
                </c:pt>
                <c:pt idx="143">
                  <c:v>-43.094885698008738</c:v>
                </c:pt>
                <c:pt idx="144">
                  <c:v>-43.75926247811676</c:v>
                </c:pt>
                <c:pt idx="145">
                  <c:v>-44.424579908518176</c:v>
                </c:pt>
                <c:pt idx="146">
                  <c:v>-45.090493161774802</c:v>
                </c:pt>
                <c:pt idx="147">
                  <c:v>-45.756656296222431</c:v>
                </c:pt>
                <c:pt idx="148">
                  <c:v>-46.422723181789038</c:v>
                </c:pt>
                <c:pt idx="149">
                  <c:v>-47.088348427581494</c:v>
                </c:pt>
                <c:pt idx="150">
                  <c:v>-47.753188305265667</c:v>
                </c:pt>
                <c:pt idx="151">
                  <c:v>-48.416901662317947</c:v>
                </c:pt>
                <c:pt idx="152">
                  <c:v>-49.079150819346374</c:v>
                </c:pt>
                <c:pt idx="153">
                  <c:v>-49.739602445876351</c:v>
                </c:pt>
                <c:pt idx="154">
                  <c:v>-50.397928409233913</c:v>
                </c:pt>
                <c:pt idx="155">
                  <c:v>-51.053806591494038</c:v>
                </c:pt>
                <c:pt idx="156">
                  <c:v>-51.706921669819486</c:v>
                </c:pt>
                <c:pt idx="157">
                  <c:v>-52.35696585592796</c:v>
                </c:pt>
                <c:pt idx="158">
                  <c:v>-53.003639590894117</c:v>
                </c:pt>
                <c:pt idx="159">
                  <c:v>-53.646652191966723</c:v>
                </c:pt>
                <c:pt idx="160">
                  <c:v>-54.285722448602513</c:v>
                </c:pt>
                <c:pt idx="161">
                  <c:v>-54.920579165439676</c:v>
                </c:pt>
                <c:pt idx="162">
                  <c:v>-55.550961650467677</c:v>
                </c:pt>
                <c:pt idx="163">
                  <c:v>-56.176620147187776</c:v>
                </c:pt>
                <c:pt idx="164">
                  <c:v>-56.79731621006939</c:v>
                </c:pt>
                <c:pt idx="165">
                  <c:v>-57.412823023127679</c:v>
                </c:pt>
                <c:pt idx="166">
                  <c:v>-58.022925661925733</c:v>
                </c:pt>
                <c:pt idx="167">
                  <c:v>-58.62742129975539</c:v>
                </c:pt>
                <c:pt idx="168">
                  <c:v>-59.226119359190371</c:v>
                </c:pt>
                <c:pt idx="169">
                  <c:v>-59.818841610572044</c:v>
                </c:pt>
                <c:pt idx="170">
                  <c:v>-60.405422219350918</c:v>
                </c:pt>
                <c:pt idx="171">
                  <c:v>-60.985707744502136</c:v>
                </c:pt>
                <c:pt idx="172">
                  <c:v>-61.559557090499993</c:v>
                </c:pt>
                <c:pt idx="173">
                  <c:v>-62.126841415554829</c:v>
                </c:pt>
                <c:pt idx="174">
                  <c:v>-62.687443998986431</c:v>
                </c:pt>
                <c:pt idx="175">
                  <c:v>-63.241260070748012</c:v>
                </c:pt>
                <c:pt idx="176">
                  <c:v>-63.788196606204174</c:v>
                </c:pt>
                <c:pt idx="177">
                  <c:v>-64.328172089319068</c:v>
                </c:pt>
                <c:pt idx="178">
                  <c:v>-64.861116247438417</c:v>
                </c:pt>
                <c:pt idx="179">
                  <c:v>-65.386969760822865</c:v>
                </c:pt>
                <c:pt idx="180">
                  <c:v>-65.905683950061842</c:v>
                </c:pt>
                <c:pt idx="181">
                  <c:v>-66.417220444411612</c:v>
                </c:pt>
                <c:pt idx="182">
                  <c:v>-66.92155083402416</c:v>
                </c:pt>
                <c:pt idx="183">
                  <c:v>-67.41865630890878</c:v>
                </c:pt>
                <c:pt idx="184">
                  <c:v>-67.908527287345507</c:v>
                </c:pt>
                <c:pt idx="185">
                  <c:v>-68.391163036327484</c:v>
                </c:pt>
                <c:pt idx="186">
                  <c:v>-68.866571286452867</c:v>
                </c:pt>
                <c:pt idx="187">
                  <c:v>-69.334767843531225</c:v>
                </c:pt>
                <c:pt idx="188">
                  <c:v>-69.795776199002134</c:v>
                </c:pt>
                <c:pt idx="189">
                  <c:v>-70.249627141094692</c:v>
                </c:pt>
                <c:pt idx="190">
                  <c:v>-70.69635836849352</c:v>
                </c:pt>
                <c:pt idx="191">
                  <c:v>-71.136014108103694</c:v>
                </c:pt>
                <c:pt idx="192">
                  <c:v>-71.568644738349462</c:v>
                </c:pt>
                <c:pt idx="193">
                  <c:v>-71.994306419279468</c:v>
                </c:pt>
                <c:pt idx="194">
                  <c:v>-72.413060730597465</c:v>
                </c:pt>
                <c:pt idx="195">
                  <c:v>-72.824974318592723</c:v>
                </c:pt>
                <c:pt idx="196">
                  <c:v>-73.230118552803901</c:v>
                </c:pt>
                <c:pt idx="197">
                  <c:v>-73.628569193116945</c:v>
                </c:pt>
                <c:pt idx="198">
                  <c:v>-74.020406067878042</c:v>
                </c:pt>
                <c:pt idx="199">
                  <c:v>-74.405712763482796</c:v>
                </c:pt>
                <c:pt idx="200">
                  <c:v>-74.784576325801751</c:v>
                </c:pt>
                <c:pt idx="201">
                  <c:v>-75.157086973700387</c:v>
                </c:pt>
                <c:pt idx="202">
                  <c:v>-75.523337824826498</c:v>
                </c:pt>
                <c:pt idx="203">
                  <c:v>-75.883424633752966</c:v>
                </c:pt>
                <c:pt idx="204">
                  <c:v>-76.237445542495422</c:v>
                </c:pt>
                <c:pt idx="205">
                  <c:v>-76.585500843356215</c:v>
                </c:pt>
                <c:pt idx="206">
                  <c:v>-76.927692753990129</c:v>
                </c:pt>
                <c:pt idx="207">
                  <c:v>-77.264125204535375</c:v>
                </c:pt>
                <c:pt idx="208">
                  <c:v>-77.59490363661142</c:v>
                </c:pt>
                <c:pt idx="209">
                  <c:v>-77.920134813943847</c:v>
                </c:pt>
                <c:pt idx="210">
                  <c:v>-78.239926644349183</c:v>
                </c:pt>
                <c:pt idx="211">
                  <c:v>-78.554388012780137</c:v>
                </c:pt>
                <c:pt idx="212">
                  <c:v>-78.863628625113066</c:v>
                </c:pt>
                <c:pt idx="213">
                  <c:v>-79.167758862342765</c:v>
                </c:pt>
                <c:pt idx="214">
                  <c:v>-79.466889644831085</c:v>
                </c:pt>
                <c:pt idx="215">
                  <c:v>-79.761132306251525</c:v>
                </c:pt>
                <c:pt idx="216">
                  <c:v>-80.050598476861595</c:v>
                </c:pt>
                <c:pt idx="217">
                  <c:v>-80.335399975731974</c:v>
                </c:pt>
                <c:pt idx="218">
                  <c:v>-80.6156487115597</c:v>
                </c:pt>
                <c:pt idx="219">
                  <c:v>-80.89145659169516</c:v>
                </c:pt>
                <c:pt idx="220">
                  <c:v>-81.162935439012657</c:v>
                </c:pt>
                <c:pt idx="221">
                  <c:v>-81.430196916262233</c:v>
                </c:pt>
                <c:pt idx="222">
                  <c:v>-81.693352457543767</c:v>
                </c:pt>
                <c:pt idx="223">
                  <c:v>-81.952513206553888</c:v>
                </c:pt>
                <c:pt idx="224">
                  <c:v>-82.207789961262719</c:v>
                </c:pt>
                <c:pt idx="225">
                  <c:v>-82.459293124688429</c:v>
                </c:pt>
                <c:pt idx="226">
                  <c:v>-82.707132661446522</c:v>
                </c:pt>
                <c:pt idx="227">
                  <c:v>-82.951418059760584</c:v>
                </c:pt>
                <c:pt idx="228">
                  <c:v>-83.192258298633703</c:v>
                </c:pt>
                <c:pt idx="229">
                  <c:v>-83.429761819890842</c:v>
                </c:pt>
                <c:pt idx="230">
                  <c:v>-83.664036504810596</c:v>
                </c:pt>
                <c:pt idx="231">
                  <c:v>-83.89518965508104</c:v>
                </c:pt>
                <c:pt idx="232">
                  <c:v>-84.123327977821617</c:v>
                </c:pt>
                <c:pt idx="233">
                  <c:v>-84.348557574427076</c:v>
                </c:pt>
                <c:pt idx="234">
                  <c:v>-84.570983932998502</c:v>
                </c:pt>
                <c:pt idx="235">
                  <c:v>-84.790711924139245</c:v>
                </c:pt>
                <c:pt idx="236">
                  <c:v>-85.007845799903464</c:v>
                </c:pt>
                <c:pt idx="237">
                  <c:v>-85.222489195695061</c:v>
                </c:pt>
                <c:pt idx="238">
                  <c:v>-85.434745134926288</c:v>
                </c:pt>
                <c:pt idx="239">
                  <c:v>-85.644716036253811</c:v>
                </c:pt>
                <c:pt idx="240">
                  <c:v>-85.852503723220195</c:v>
                </c:pt>
                <c:pt idx="241">
                  <c:v>-86.05820943613837</c:v>
                </c:pt>
                <c:pt idx="242">
                  <c:v>-86.261933846064125</c:v>
                </c:pt>
                <c:pt idx="243">
                  <c:v>-86.463777070711359</c:v>
                </c:pt>
                <c:pt idx="244">
                  <c:v>-86.663838692172476</c:v>
                </c:pt>
                <c:pt idx="245">
                  <c:v>-86.8622177763135</c:v>
                </c:pt>
                <c:pt idx="246">
                  <c:v>-87.059012893721103</c:v>
                </c:pt>
                <c:pt idx="247">
                  <c:v>-87.254322142085726</c:v>
                </c:pt>
                <c:pt idx="248">
                  <c:v>-87.448243169911223</c:v>
                </c:pt>
                <c:pt idx="249">
                  <c:v>-87.640873201447519</c:v>
                </c:pt>
                <c:pt idx="250">
                  <c:v>-87.832309062748308</c:v>
                </c:pt>
                <c:pt idx="251">
                  <c:v>-88.022647208761768</c:v>
                </c:pt>
                <c:pt idx="252">
                  <c:v>-88.211983751366844</c:v>
                </c:pt>
                <c:pt idx="253">
                  <c:v>-88.400414488271693</c:v>
                </c:pt>
                <c:pt idx="254">
                  <c:v>-88.588034932696189</c:v>
                </c:pt>
                <c:pt idx="255">
                  <c:v>-88.774940343763859</c:v>
                </c:pt>
                <c:pt idx="256">
                  <c:v>-88.961225757531096</c:v>
                </c:pt>
                <c:pt idx="257">
                  <c:v>-89.146986018587157</c:v>
                </c:pt>
                <c:pt idx="258">
                  <c:v>-89.332315812158413</c:v>
                </c:pt>
                <c:pt idx="259">
                  <c:v>-89.517309696655346</c:v>
                </c:pt>
                <c:pt idx="260">
                  <c:v>-89.702062136601299</c:v>
                </c:pt>
                <c:pt idx="261">
                  <c:v>-89.886667535884683</c:v>
                </c:pt>
                <c:pt idx="262">
                  <c:v>-90.071220271277966</c:v>
                </c:pt>
                <c:pt idx="263">
                  <c:v>-90.255814726168126</c:v>
                </c:pt>
                <c:pt idx="264">
                  <c:v>-90.440545324442823</c:v>
                </c:pt>
                <c:pt idx="265">
                  <c:v>-90.625506564479949</c:v>
                </c:pt>
                <c:pt idx="266">
                  <c:v>-90.810793053185705</c:v>
                </c:pt>
                <c:pt idx="267">
                  <c:v>-90.996499540028466</c:v>
                </c:pt>
                <c:pt idx="268">
                  <c:v>-91.182720951013991</c:v>
                </c:pt>
                <c:pt idx="269">
                  <c:v>-91.369552422548324</c:v>
                </c:pt>
                <c:pt idx="270">
                  <c:v>-91.557089335132716</c:v>
                </c:pt>
                <c:pt idx="271">
                  <c:v>-91.745427346834518</c:v>
                </c:pt>
                <c:pt idx="272">
                  <c:v>-91.934662426475455</c:v>
                </c:pt>
                <c:pt idx="273">
                  <c:v>-92.124890886478966</c:v>
                </c:pt>
                <c:pt idx="274">
                  <c:v>-92.31620941531331</c:v>
                </c:pt>
                <c:pt idx="275">
                  <c:v>-92.508715109467374</c:v>
                </c:pt>
                <c:pt idx="276">
                  <c:v>-92.702505504891377</c:v>
                </c:pt>
                <c:pt idx="277">
                  <c:v>-92.897678607832873</c:v>
                </c:pt>
                <c:pt idx="278">
                  <c:v>-93.094332924994276</c:v>
                </c:pt>
                <c:pt idx="279">
                  <c:v>-93.292567492934452</c:v>
                </c:pt>
                <c:pt idx="280">
                  <c:v>-93.492481906632932</c:v>
                </c:pt>
                <c:pt idx="281">
                  <c:v>-93.694176347130792</c:v>
                </c:pt>
                <c:pt idx="282">
                  <c:v>-93.897751608157193</c:v>
                </c:pt>
                <c:pt idx="283">
                  <c:v>-94.103309121645125</c:v>
                </c:pt>
                <c:pt idx="284">
                  <c:v>-94.310950982035109</c:v>
                </c:pt>
                <c:pt idx="285">
                  <c:v>-94.520779969258527</c:v>
                </c:pt>
                <c:pt idx="286">
                  <c:v>-94.732899570286321</c:v>
                </c:pt>
                <c:pt idx="287">
                  <c:v>-94.947413999122276</c:v>
                </c:pt>
                <c:pt idx="288">
                  <c:v>-95.164428215112139</c:v>
                </c:pt>
                <c:pt idx="289">
                  <c:v>-95.384047939433017</c:v>
                </c:pt>
                <c:pt idx="290">
                  <c:v>-95.606379669618633</c:v>
                </c:pt>
                <c:pt idx="291">
                  <c:v>-95.831530691968354</c:v>
                </c:pt>
                <c:pt idx="292">
                  <c:v>-96.059609091678325</c:v>
                </c:pt>
                <c:pt idx="293">
                  <c:v>-96.290723760524685</c:v>
                </c:pt>
                <c:pt idx="294">
                  <c:v>-96.524984401918175</c:v>
                </c:pt>
                <c:pt idx="295">
                  <c:v>-96.762501533139812</c:v>
                </c:pt>
                <c:pt idx="296">
                  <c:v>-97.003386484557922</c:v>
                </c:pt>
                <c:pt idx="297">
                  <c:v>-97.247751395614173</c:v>
                </c:pt>
                <c:pt idx="298">
                  <c:v>-97.495709207356782</c:v>
                </c:pt>
                <c:pt idx="299">
                  <c:v>-97.747373651287162</c:v>
                </c:pt>
                <c:pt idx="300">
                  <c:v>-98.002859234275107</c:v>
                </c:pt>
                <c:pt idx="301">
                  <c:v>-98.262281219284446</c:v>
                </c:pt>
                <c:pt idx="302">
                  <c:v>-98.525755601641421</c:v>
                </c:pt>
                <c:pt idx="303">
                  <c:v>-98.793399080564257</c:v>
                </c:pt>
                <c:pt idx="304">
                  <c:v>-99.065329025661086</c:v>
                </c:pt>
                <c:pt idx="305">
                  <c:v>-99.341663438091231</c:v>
                </c:pt>
                <c:pt idx="306">
                  <c:v>-99.622520906073419</c:v>
                </c:pt>
                <c:pt idx="307">
                  <c:v>-99.908020554412488</c:v>
                </c:pt>
                <c:pt idx="308">
                  <c:v>-100.19828198770611</c:v>
                </c:pt>
                <c:pt idx="309">
                  <c:v>-100.49342522688008</c:v>
                </c:pt>
                <c:pt idx="310">
                  <c:v>-100.79357063869507</c:v>
                </c:pt>
                <c:pt idx="311">
                  <c:v>-101.09883885785335</c:v>
                </c:pt>
                <c:pt idx="312">
                  <c:v>-101.40935070133172</c:v>
                </c:pt>
                <c:pt idx="313">
                  <c:v>-101.72522707455477</c:v>
                </c:pt>
                <c:pt idx="314">
                  <c:v>-102.04658886902378</c:v>
                </c:pt>
                <c:pt idx="315">
                  <c:v>-102.3735568510038</c:v>
                </c:pt>
                <c:pt idx="316">
                  <c:v>-102.70625154088299</c:v>
                </c:pt>
                <c:pt idx="317">
                  <c:v>-103.04479308280604</c:v>
                </c:pt>
                <c:pt idx="318">
                  <c:v>-103.38930110419548</c:v>
                </c:pt>
                <c:pt idx="319">
                  <c:v>-103.73989456478023</c:v>
                </c:pt>
                <c:pt idx="320">
                  <c:v>-104.09669159475581</c:v>
                </c:pt>
                <c:pt idx="321">
                  <c:v>-104.4598093217223</c:v>
                </c:pt>
                <c:pt idx="322">
                  <c:v>-104.82936368605397</c:v>
                </c:pt>
                <c:pt idx="323">
                  <c:v>-105.20546924438715</c:v>
                </c:pt>
                <c:pt idx="324">
                  <c:v>-105.58823896093185</c:v>
                </c:pt>
                <c:pt idx="325">
                  <c:v>-105.97778398635027</c:v>
                </c:pt>
                <c:pt idx="326">
                  <c:v>-106.37421342398055</c:v>
                </c:pt>
                <c:pt idx="327">
                  <c:v>-106.77763408323176</c:v>
                </c:pt>
                <c:pt idx="328">
                  <c:v>-107.18815022002595</c:v>
                </c:pt>
                <c:pt idx="329">
                  <c:v>-107.60586326422295</c:v>
                </c:pt>
                <c:pt idx="330">
                  <c:v>-108.03087153402484</c:v>
                </c:pt>
                <c:pt idx="331">
                  <c:v>-108.46326993744161</c:v>
                </c:pt>
                <c:pt idx="332">
                  <c:v>-108.90314966096959</c:v>
                </c:pt>
                <c:pt idx="333">
                  <c:v>-109.350597845734</c:v>
                </c:pt>
                <c:pt idx="334">
                  <c:v>-109.80569725144068</c:v>
                </c:pt>
                <c:pt idx="335">
                  <c:v>-110.26852590859674</c:v>
                </c:pt>
                <c:pt idx="336">
                  <c:v>-110.73915675956664</c:v>
                </c:pt>
                <c:pt idx="337">
                  <c:v>-111.21765728916772</c:v>
                </c:pt>
                <c:pt idx="338">
                  <c:v>-111.70408914563501</c:v>
                </c:pt>
                <c:pt idx="339">
                  <c:v>-112.19850775292883</c:v>
                </c:pt>
                <c:pt idx="340">
                  <c:v>-112.70096191551031</c:v>
                </c:pt>
                <c:pt idx="341">
                  <c:v>-113.21149341686427</c:v>
                </c:pt>
                <c:pt idx="342">
                  <c:v>-113.73013661321113</c:v>
                </c:pt>
                <c:pt idx="343">
                  <c:v>-114.25691802401423</c:v>
                </c:pt>
                <c:pt idx="344">
                  <c:v>-114.79185592106229</c:v>
                </c:pt>
                <c:pt idx="345">
                  <c:v>-115.33495991807219</c:v>
                </c:pt>
                <c:pt idx="346">
                  <c:v>-115.88623056293342</c:v>
                </c:pt>
                <c:pt idx="347">
                  <c:v>-116.44565893487551</c:v>
                </c:pt>
                <c:pt idx="348">
                  <c:v>-117.01322624901206</c:v>
                </c:pt>
                <c:pt idx="349">
                  <c:v>-117.58890347086248</c:v>
                </c:pt>
                <c:pt idx="350">
                  <c:v>-118.17265094360057</c:v>
                </c:pt>
                <c:pt idx="351">
                  <c:v>-118.76441803091113</c:v>
                </c:pt>
                <c:pt idx="352">
                  <c:v>-119.36414277844911</c:v>
                </c:pt>
                <c:pt idx="353">
                  <c:v>-119.9717515969935</c:v>
                </c:pt>
                <c:pt idx="354">
                  <c:v>-120.58715897046122</c:v>
                </c:pt>
                <c:pt idx="355">
                  <c:v>-121.21026719198679</c:v>
                </c:pt>
                <c:pt idx="356">
                  <c:v>-121.84096613130292</c:v>
                </c:pt>
                <c:pt idx="357">
                  <c:v>-122.479133036631</c:v>
                </c:pt>
                <c:pt idx="358">
                  <c:v>-123.12463237424515</c:v>
                </c:pt>
                <c:pt idx="359">
                  <c:v>-123.77731570879509</c:v>
                </c:pt>
                <c:pt idx="360">
                  <c:v>-124.43702162732853</c:v>
                </c:pt>
                <c:pt idx="361">
                  <c:v>-125.10357570980881</c:v>
                </c:pt>
                <c:pt idx="362">
                  <c:v>-125.77679054870073</c:v>
                </c:pt>
                <c:pt idx="363">
                  <c:v>-126.45646581995581</c:v>
                </c:pt>
                <c:pt idx="364">
                  <c:v>-127.14238840743685</c:v>
                </c:pt>
                <c:pt idx="365">
                  <c:v>-127.83433258248779</c:v>
                </c:pt>
                <c:pt idx="366">
                  <c:v>-128.53206023999951</c:v>
                </c:pt>
                <c:pt idx="367">
                  <c:v>-129.23532119190818</c:v>
                </c:pt>
                <c:pt idx="368">
                  <c:v>-129.94385351864162</c:v>
                </c:pt>
                <c:pt idx="369">
                  <c:v>-130.65738397856961</c:v>
                </c:pt>
                <c:pt idx="370">
                  <c:v>-131.37562847503958</c:v>
                </c:pt>
                <c:pt idx="371">
                  <c:v>-132.09829258008989</c:v>
                </c:pt>
                <c:pt idx="372">
                  <c:v>-132.8250721134381</c:v>
                </c:pt>
                <c:pt idx="373">
                  <c:v>-133.55565377484535</c:v>
                </c:pt>
                <c:pt idx="374">
                  <c:v>-134.28971582747349</c:v>
                </c:pt>
                <c:pt idx="375">
                  <c:v>-135.02692882938149</c:v>
                </c:pt>
                <c:pt idx="376">
                  <c:v>-135.76695640986205</c:v>
                </c:pt>
                <c:pt idx="377">
                  <c:v>-136.50945608689557</c:v>
                </c:pt>
                <c:pt idx="378">
                  <c:v>-137.254080121638</c:v>
                </c:pt>
                <c:pt idx="379">
                  <c:v>-138.00047640550989</c:v>
                </c:pt>
                <c:pt idx="380">
                  <c:v>-138.74828937517327</c:v>
                </c:pt>
                <c:pt idx="381">
                  <c:v>-139.49716095046747</c:v>
                </c:pt>
                <c:pt idx="382">
                  <c:v>-140.24673149018042</c:v>
                </c:pt>
                <c:pt idx="383">
                  <c:v>-140.9966407604399</c:v>
                </c:pt>
                <c:pt idx="384">
                  <c:v>-141.74652891044269</c:v>
                </c:pt>
                <c:pt idx="385">
                  <c:v>-142.49603745025684</c:v>
                </c:pt>
                <c:pt idx="386">
                  <c:v>-143.24481022549219</c:v>
                </c:pt>
                <c:pt idx="387">
                  <c:v>-143.99249438375884</c:v>
                </c:pt>
                <c:pt idx="388">
                  <c:v>-144.7387413279973</c:v>
                </c:pt>
                <c:pt idx="389">
                  <c:v>-145.48320765199904</c:v>
                </c:pt>
                <c:pt idx="390">
                  <c:v>-146.22555605366693</c:v>
                </c:pt>
                <c:pt idx="391">
                  <c:v>-146.96545622188555</c:v>
                </c:pt>
                <c:pt idx="392">
                  <c:v>-147.70258569316067</c:v>
                </c:pt>
                <c:pt idx="393">
                  <c:v>-148.43663067454611</c:v>
                </c:pt>
                <c:pt idx="394">
                  <c:v>-149.16728682970577</c:v>
                </c:pt>
                <c:pt idx="395">
                  <c:v>-149.89426002532488</c:v>
                </c:pt>
                <c:pt idx="396">
                  <c:v>-150.61726703543101</c:v>
                </c:pt>
                <c:pt idx="397">
                  <c:v>-151.33603620152473</c:v>
                </c:pt>
                <c:pt idx="398">
                  <c:v>-152.05030804676537</c:v>
                </c:pt>
                <c:pt idx="399">
                  <c:v>-152.75983584275752</c:v>
                </c:pt>
                <c:pt idx="400">
                  <c:v>-153.46438612779545</c:v>
                </c:pt>
                <c:pt idx="401">
                  <c:v>-154.1637391756845</c:v>
                </c:pt>
                <c:pt idx="402">
                  <c:v>-154.85768941452542</c:v>
                </c:pt>
                <c:pt idx="403">
                  <c:v>-155.5460457950683</c:v>
                </c:pt>
                <c:pt idx="404">
                  <c:v>-156.22863210845568</c:v>
                </c:pt>
                <c:pt idx="405">
                  <c:v>-156.90528725336648</c:v>
                </c:pt>
                <c:pt idx="406">
                  <c:v>-157.57586545274256</c:v>
                </c:pt>
                <c:pt idx="407">
                  <c:v>-158.24023642043915</c:v>
                </c:pt>
                <c:pt idx="408">
                  <c:v>-158.89828547828722</c:v>
                </c:pt>
                <c:pt idx="409">
                  <c:v>-159.54991362419563</c:v>
                </c:pt>
                <c:pt idx="410">
                  <c:v>-160.19503755205307</c:v>
                </c:pt>
                <c:pt idx="411">
                  <c:v>-160.83358962432888</c:v>
                </c:pt>
                <c:pt idx="412">
                  <c:v>-161.46551779839666</c:v>
                </c:pt>
                <c:pt idx="413">
                  <c:v>-162.09078550774646</c:v>
                </c:pt>
                <c:pt idx="414">
                  <c:v>-162.70937149939391</c:v>
                </c:pt>
                <c:pt idx="415">
                  <c:v>-163.32126962893705</c:v>
                </c:pt>
                <c:pt idx="416">
                  <c:v>-163.92648861486188</c:v>
                </c:pt>
                <c:pt idx="417">
                  <c:v>-164.5250517538588</c:v>
                </c:pt>
                <c:pt idx="418">
                  <c:v>-165.11699659906139</c:v>
                </c:pt>
                <c:pt idx="419">
                  <c:v>-165.70237460328747</c:v>
                </c:pt>
                <c:pt idx="420">
                  <c:v>-166.28125072950854</c:v>
                </c:pt>
                <c:pt idx="421">
                  <c:v>-166.85370303093444</c:v>
                </c:pt>
                <c:pt idx="422">
                  <c:v>-167.41982220323357</c:v>
                </c:pt>
                <c:pt idx="423">
                  <c:v>-167.97971111154564</c:v>
                </c:pt>
                <c:pt idx="424">
                  <c:v>-168.53348429505581</c:v>
                </c:pt>
                <c:pt idx="425">
                  <c:v>-169.08126745199391</c:v>
                </c:pt>
                <c:pt idx="426">
                  <c:v>-169.62319690799828</c:v>
                </c:pt>
                <c:pt idx="427">
                  <c:v>-170.15941907082254</c:v>
                </c:pt>
                <c:pt idx="428">
                  <c:v>-170.69008987440105</c:v>
                </c:pt>
                <c:pt idx="429">
                  <c:v>-171.21537421526739</c:v>
                </c:pt>
                <c:pt idx="430">
                  <c:v>-171.73544538428558</c:v>
                </c:pt>
                <c:pt idx="431">
                  <c:v>-172.25048449659684</c:v>
                </c:pt>
                <c:pt idx="432">
                  <c:v>-172.76067992257879</c:v>
                </c:pt>
                <c:pt idx="433">
                  <c:v>-173.26622672249795</c:v>
                </c:pt>
                <c:pt idx="434">
                  <c:v>-173.76732608738536</c:v>
                </c:pt>
                <c:pt idx="435">
                  <c:v>-174.2641847884951</c:v>
                </c:pt>
                <c:pt idx="436">
                  <c:v>-174.75701463751241</c:v>
                </c:pt>
                <c:pt idx="437">
                  <c:v>-175.24603195946347</c:v>
                </c:pt>
                <c:pt idx="438">
                  <c:v>-175.73145708006689</c:v>
                </c:pt>
                <c:pt idx="439">
                  <c:v>-176.21351382901523</c:v>
                </c:pt>
                <c:pt idx="440">
                  <c:v>-176.69242906045213</c:v>
                </c:pt>
                <c:pt idx="441">
                  <c:v>-177.16843219164781</c:v>
                </c:pt>
                <c:pt idx="442">
                  <c:v>-177.64175476064898</c:v>
                </c:pt>
                <c:pt idx="443">
                  <c:v>-178.1126300034214</c:v>
                </c:pt>
                <c:pt idx="444">
                  <c:v>-178.58129245078374</c:v>
                </c:pt>
                <c:pt idx="445">
                  <c:v>-179.04797754519592</c:v>
                </c:pt>
                <c:pt idx="446">
                  <c:v>-179.51292127725631</c:v>
                </c:pt>
                <c:pt idx="447">
                  <c:v>-179.97635984155966</c:v>
                </c:pt>
                <c:pt idx="448">
                  <c:v>179.56147068861407</c:v>
                </c:pt>
                <c:pt idx="449">
                  <c:v>179.10033466848498</c:v>
                </c:pt>
                <c:pt idx="450">
                  <c:v>178.63999717168227</c:v>
                </c:pt>
                <c:pt idx="451">
                  <c:v>178.18022426386662</c:v>
                </c:pt>
                <c:pt idx="452">
                  <c:v>177.72078326116934</c:v>
                </c:pt>
                <c:pt idx="453">
                  <c:v>177.26144297464975</c:v>
                </c:pt>
                <c:pt idx="454">
                  <c:v>176.80197394205669</c:v>
                </c:pt>
                <c:pt idx="455">
                  <c:v>176.34214864823949</c:v>
                </c:pt>
                <c:pt idx="456">
                  <c:v>175.88174173560878</c:v>
                </c:pt>
                <c:pt idx="457">
                  <c:v>175.42053020607116</c:v>
                </c:pt>
                <c:pt idx="458">
                  <c:v>174.95829361588841</c:v>
                </c:pt>
                <c:pt idx="459">
                  <c:v>174.49481426491047</c:v>
                </c:pt>
                <c:pt idx="460">
                  <c:v>174.02987738162514</c:v>
                </c:pt>
                <c:pt idx="461">
                  <c:v>173.56327130544705</c:v>
                </c:pt>
                <c:pt idx="462">
                  <c:v>173.0947876676353</c:v>
                </c:pt>
                <c:pt idx="463">
                  <c:v>172.62422157218981</c:v>
                </c:pt>
                <c:pt idx="464">
                  <c:v>172.1513717780231</c:v>
                </c:pt>
                <c:pt idx="465">
                  <c:v>171.67604088364726</c:v>
                </c:pt>
                <c:pt idx="466">
                  <c:v>171.19803551554133</c:v>
                </c:pt>
                <c:pt idx="467">
                  <c:v>170.71716652129791</c:v>
                </c:pt>
                <c:pt idx="468">
                  <c:v>170.23324916855563</c:v>
                </c:pt>
                <c:pt idx="469">
                  <c:v>169.74610335063758</c:v>
                </c:pt>
                <c:pt idx="470">
                  <c:v>169.25555379972062</c:v>
                </c:pt>
                <c:pt idx="471">
                  <c:v>168.7614303082504</c:v>
                </c:pt>
                <c:pt idx="472">
                  <c:v>168.26356795921555</c:v>
                </c:pt>
                <c:pt idx="473">
                  <c:v>167.76180736576629</c:v>
                </c:pt>
                <c:pt idx="474">
                  <c:v>167.25599492054971</c:v>
                </c:pt>
                <c:pt idx="475">
                  <c:v>166.74598305499669</c:v>
                </c:pt>
                <c:pt idx="476">
                  <c:v>166.23163050866165</c:v>
                </c:pt>
                <c:pt idx="477">
                  <c:v>165.71280260857333</c:v>
                </c:pt>
                <c:pt idx="478">
                  <c:v>165.18937155840268</c:v>
                </c:pt>
                <c:pt idx="479">
                  <c:v>164.66121673710094</c:v>
                </c:pt>
                <c:pt idx="480">
                  <c:v>164.12822500649636</c:v>
                </c:pt>
                <c:pt idx="481">
                  <c:v>163.59029102717196</c:v>
                </c:pt>
                <c:pt idx="482">
                  <c:v>163.04731758177073</c:v>
                </c:pt>
                <c:pt idx="483">
                  <c:v>162.49921590470163</c:v>
                </c:pt>
                <c:pt idx="484">
                  <c:v>161.94590601703035</c:v>
                </c:pt>
                <c:pt idx="485">
                  <c:v>161.38731706516344</c:v>
                </c:pt>
                <c:pt idx="486">
                  <c:v>160.82338766174001</c:v>
                </c:pt>
                <c:pt idx="487">
                  <c:v>160.25406622696249</c:v>
                </c:pt>
                <c:pt idx="488">
                  <c:v>159.67931132841488</c:v>
                </c:pt>
                <c:pt idx="489">
                  <c:v>159.09909201722905</c:v>
                </c:pt>
                <c:pt idx="490">
                  <c:v>158.51338815829087</c:v>
                </c:pt>
                <c:pt idx="491">
                  <c:v>157.9221907520062</c:v>
                </c:pt>
                <c:pt idx="492">
                  <c:v>157.32550224498863</c:v>
                </c:pt>
                <c:pt idx="493">
                  <c:v>156.72333682688938</c:v>
                </c:pt>
                <c:pt idx="494">
                  <c:v>156.11572071046257</c:v>
                </c:pt>
                <c:pt idx="495">
                  <c:v>155.50269239184743</c:v>
                </c:pt>
                <c:pt idx="496">
                  <c:v>154.88430288797045</c:v>
                </c:pt>
                <c:pt idx="497">
                  <c:v>154.26061594790414</c:v>
                </c:pt>
                <c:pt idx="498">
                  <c:v>153.63170823499595</c:v>
                </c:pt>
                <c:pt idx="499">
                  <c:v>152.99766947658048</c:v>
                </c:pt>
                <c:pt idx="500">
                  <c:v>152.35860257812564</c:v>
                </c:pt>
                <c:pt idx="501">
                  <c:v>151.71462369874081</c:v>
                </c:pt>
                <c:pt idx="502">
                  <c:v>151.06586228509119</c:v>
                </c:pt>
                <c:pt idx="503">
                  <c:v>150.41246106091904</c:v>
                </c:pt>
                <c:pt idx="504">
                  <c:v>149.75457596957483</c:v>
                </c:pt>
                <c:pt idx="505">
                  <c:v>149.09237606720515</c:v>
                </c:pt>
                <c:pt idx="506">
                  <c:v>148.42604336453547</c:v>
                </c:pt>
                <c:pt idx="507">
                  <c:v>147.75577261551209</c:v>
                </c:pt>
                <c:pt idx="508">
                  <c:v>147.0817710514431</c:v>
                </c:pt>
                <c:pt idx="509">
                  <c:v>146.40425805968988</c:v>
                </c:pt>
                <c:pt idx="510">
                  <c:v>145.72346480639933</c:v>
                </c:pt>
                <c:pt idx="511">
                  <c:v>145.03963380324979</c:v>
                </c:pt>
                <c:pt idx="512">
                  <c:v>144.35301841867619</c:v>
                </c:pt>
                <c:pt idx="513">
                  <c:v>143.66388233456254</c:v>
                </c:pt>
                <c:pt idx="514">
                  <c:v>142.97249894992197</c:v>
                </c:pt>
                <c:pt idx="515">
                  <c:v>142.27915073360879</c:v>
                </c:pt>
                <c:pt idx="516">
                  <c:v>141.58412852865436</c:v>
                </c:pt>
                <c:pt idx="517">
                  <c:v>140.88773081131936</c:v>
                </c:pt>
                <c:pt idx="518">
                  <c:v>140.19026290846509</c:v>
                </c:pt>
                <c:pt idx="519">
                  <c:v>139.49203617731484</c:v>
                </c:pt>
                <c:pt idx="520">
                  <c:v>138.79336715209865</c:v>
                </c:pt>
                <c:pt idx="521">
                  <c:v>138.09457666247826</c:v>
                </c:pt>
                <c:pt idx="522">
                  <c:v>137.39598892897254</c:v>
                </c:pt>
                <c:pt idx="523">
                  <c:v>136.69793064088469</c:v>
                </c:pt>
                <c:pt idx="524">
                  <c:v>136.00073002245048</c:v>
                </c:pt>
                <c:pt idx="525">
                  <c:v>135.30471589307643</c:v>
                </c:pt>
                <c:pt idx="526">
                  <c:v>134.61021672760441</c:v>
                </c:pt>
                <c:pt idx="527">
                  <c:v>133.91755972255658</c:v>
                </c:pt>
                <c:pt idx="528">
                  <c:v>133.22706987424888</c:v>
                </c:pt>
                <c:pt idx="529">
                  <c:v>132.53906907450877</c:v>
                </c:pt>
                <c:pt idx="530">
                  <c:v>131.85387522956486</c:v>
                </c:pt>
                <c:pt idx="531">
                  <c:v>131.17180140736332</c:v>
                </c:pt>
                <c:pt idx="532">
                  <c:v>130.49315501828755</c:v>
                </c:pt>
                <c:pt idx="533">
                  <c:v>129.81823703383387</c:v>
                </c:pt>
                <c:pt idx="534">
                  <c:v>129.14734124741264</c:v>
                </c:pt>
                <c:pt idx="535">
                  <c:v>128.48075358095093</c:v>
                </c:pt>
                <c:pt idx="536">
                  <c:v>127.81875144049746</c:v>
                </c:pt>
                <c:pt idx="537">
                  <c:v>127.16160312350469</c:v>
                </c:pt>
                <c:pt idx="538">
                  <c:v>126.50956727994948</c:v>
                </c:pt>
                <c:pt idx="539">
                  <c:v>125.86289242890194</c:v>
                </c:pt>
                <c:pt idx="540">
                  <c:v>125.22181653164175</c:v>
                </c:pt>
                <c:pt idx="541">
                  <c:v>124.58656662187904</c:v>
                </c:pt>
              </c:numCache>
            </c:numRef>
          </c:yVal>
          <c:smooth val="1"/>
          <c:extLst>
            <c:ext xmlns:c16="http://schemas.microsoft.com/office/drawing/2014/chart" uri="{C3380CC4-5D6E-409C-BE32-E72D297353CC}">
              <c16:uniqueId val="{00000001-803D-44F5-B8E6-A5B9D3091231}"/>
            </c:ext>
          </c:extLst>
        </c:ser>
        <c:dLbls>
          <c:showLegendKey val="0"/>
          <c:showVal val="0"/>
          <c:showCatName val="0"/>
          <c:showSerName val="0"/>
          <c:showPercent val="0"/>
          <c:showBubbleSize val="0"/>
        </c:dLbls>
        <c:axId val="175511040"/>
        <c:axId val="175509504"/>
      </c:scatterChart>
      <c:valAx>
        <c:axId val="178188288"/>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190208"/>
        <c:crosses val="autoZero"/>
        <c:crossBetween val="midCat"/>
      </c:valAx>
      <c:valAx>
        <c:axId val="17819020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8188288"/>
        <c:crosses val="autoZero"/>
        <c:crossBetween val="midCat"/>
        <c:majorUnit val="20"/>
        <c:minorUnit val="10"/>
      </c:valAx>
      <c:valAx>
        <c:axId val="175509504"/>
        <c:scaling>
          <c:orientation val="minMax"/>
          <c:max val="180"/>
          <c:min val="-180"/>
        </c:scaling>
        <c:delete val="0"/>
        <c:axPos val="r"/>
        <c:numFmt formatCode="General" sourceLinked="1"/>
        <c:majorTickMark val="out"/>
        <c:minorTickMark val="none"/>
        <c:tickLblPos val="nextTo"/>
        <c:crossAx val="175511040"/>
        <c:crosses val="max"/>
        <c:crossBetween val="midCat"/>
        <c:majorUnit val="90"/>
        <c:minorUnit val="45"/>
      </c:valAx>
      <c:valAx>
        <c:axId val="175511040"/>
        <c:scaling>
          <c:logBase val="10"/>
          <c:orientation val="minMax"/>
        </c:scaling>
        <c:delete val="1"/>
        <c:axPos val="b"/>
        <c:numFmt formatCode="0.00" sourceLinked="1"/>
        <c:majorTickMark val="out"/>
        <c:minorTickMark val="none"/>
        <c:tickLblPos val="nextTo"/>
        <c:crossAx val="175509504"/>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Loop_Modeling!$BD$19:$BD$560</c:f>
              <c:numCache>
                <c:formatCode>General</c:formatCode>
                <c:ptCount val="542"/>
                <c:pt idx="0">
                  <c:v>36.887437403854861</c:v>
                </c:pt>
                <c:pt idx="1">
                  <c:v>36.68745733997384</c:v>
                </c:pt>
                <c:pt idx="2">
                  <c:v>36.48747821555456</c:v>
                </c:pt>
                <c:pt idx="3">
                  <c:v>36.287500074862969</c:v>
                </c:pt>
                <c:pt idx="4">
                  <c:v>36.087522964250226</c:v>
                </c:pt>
                <c:pt idx="5">
                  <c:v>35.887546932251027</c:v>
                </c:pt>
                <c:pt idx="6">
                  <c:v>35.687572029686379</c:v>
                </c:pt>
                <c:pt idx="7">
                  <c:v>35.487598309771123</c:v>
                </c:pt>
                <c:pt idx="8">
                  <c:v>35.287625828226709</c:v>
                </c:pt>
                <c:pt idx="9">
                  <c:v>35.087654643399219</c:v>
                </c:pt>
                <c:pt idx="10">
                  <c:v>34.887684816382887</c:v>
                </c:pt>
                <c:pt idx="11">
                  <c:v>34.687716411149594</c:v>
                </c:pt>
                <c:pt idx="12">
                  <c:v>34.487749494684032</c:v>
                </c:pt>
                <c:pt idx="13">
                  <c:v>34.28778413712579</c:v>
                </c:pt>
                <c:pt idx="14">
                  <c:v>34.087820411917725</c:v>
                </c:pt>
                <c:pt idx="15">
                  <c:v>33.887858395961374</c:v>
                </c:pt>
                <c:pt idx="16">
                  <c:v>33.687898169779821</c:v>
                </c:pt>
                <c:pt idx="17">
                  <c:v>33.487939817687952</c:v>
                </c:pt>
                <c:pt idx="18">
                  <c:v>33.287983427971142</c:v>
                </c:pt>
                <c:pt idx="19">
                  <c:v>33.08802909307169</c:v>
                </c:pt>
                <c:pt idx="20">
                  <c:v>32.888076909784594</c:v>
                </c:pt>
                <c:pt idx="21">
                  <c:v>32.688126979462375</c:v>
                </c:pt>
                <c:pt idx="22">
                  <c:v>32.488179408229229</c:v>
                </c:pt>
                <c:pt idx="23">
                  <c:v>32.288234307205592</c:v>
                </c:pt>
                <c:pt idx="24">
                  <c:v>32.088291792743114</c:v>
                </c:pt>
                <c:pt idx="25">
                  <c:v>31.888351986670411</c:v>
                </c:pt>
                <c:pt idx="26">
                  <c:v>31.688415016551016</c:v>
                </c:pt>
                <c:pt idx="27">
                  <c:v>31.488481015952484</c:v>
                </c:pt>
                <c:pt idx="28">
                  <c:v>31.288550124728953</c:v>
                </c:pt>
                <c:pt idx="29">
                  <c:v>31.088622489316467</c:v>
                </c:pt>
                <c:pt idx="30">
                  <c:v>30.888698263042404</c:v>
                </c:pt>
                <c:pt idx="31">
                  <c:v>30.688777606449218</c:v>
                </c:pt>
                <c:pt idx="32">
                  <c:v>30.488860687633306</c:v>
                </c:pt>
                <c:pt idx="33">
                  <c:v>30.288947682600075</c:v>
                </c:pt>
                <c:pt idx="34">
                  <c:v>30.08903877563521</c:v>
                </c:pt>
                <c:pt idx="35">
                  <c:v>29.889134159693679</c:v>
                </c:pt>
                <c:pt idx="36">
                  <c:v>29.689234036806475</c:v>
                </c:pt>
                <c:pt idx="37">
                  <c:v>29.489338618507198</c:v>
                </c:pt>
                <c:pt idx="38">
                  <c:v>29.289448126277364</c:v>
                </c:pt>
                <c:pt idx="39">
                  <c:v>29.089562792013893</c:v>
                </c:pt>
                <c:pt idx="40">
                  <c:v>28.889682858517208</c:v>
                </c:pt>
                <c:pt idx="41">
                  <c:v>28.689808580003163</c:v>
                </c:pt>
                <c:pt idx="42">
                  <c:v>28.48994022263787</c:v>
                </c:pt>
                <c:pt idx="43">
                  <c:v>28.290078065098307</c:v>
                </c:pt>
                <c:pt idx="44">
                  <c:v>28.090222399158591</c:v>
                </c:pt>
                <c:pt idx="45">
                  <c:v>27.890373530304021</c:v>
                </c:pt>
                <c:pt idx="46">
                  <c:v>27.690531778372829</c:v>
                </c:pt>
                <c:pt idx="47">
                  <c:v>27.490697478229002</c:v>
                </c:pt>
                <c:pt idx="48">
                  <c:v>27.290870980465339</c:v>
                </c:pt>
                <c:pt idx="49">
                  <c:v>27.091052652139926</c:v>
                </c:pt>
                <c:pt idx="50">
                  <c:v>26.891242877546667</c:v>
                </c:pt>
                <c:pt idx="51">
                  <c:v>26.691442059020996</c:v>
                </c:pt>
                <c:pt idx="52">
                  <c:v>26.491650617783957</c:v>
                </c:pt>
                <c:pt idx="53">
                  <c:v>26.291868994824835</c:v>
                </c:pt>
                <c:pt idx="54">
                  <c:v>26.092097651824503</c:v>
                </c:pt>
                <c:pt idx="55">
                  <c:v>25.892337072122299</c:v>
                </c:pt>
                <c:pt idx="56">
                  <c:v>25.692587761726621</c:v>
                </c:pt>
                <c:pt idx="57">
                  <c:v>25.49285025037301</c:v>
                </c:pt>
                <c:pt idx="58">
                  <c:v>25.293125092630561</c:v>
                </c:pt>
                <c:pt idx="59">
                  <c:v>25.093412869059915</c:v>
                </c:pt>
                <c:pt idx="60">
                  <c:v>24.893714187424148</c:v>
                </c:pt>
                <c:pt idx="61">
                  <c:v>24.69402968395547</c:v>
                </c:pt>
                <c:pt idx="62">
                  <c:v>24.494360024680176</c:v>
                </c:pt>
                <c:pt idx="63">
                  <c:v>24.294705906804651</c:v>
                </c:pt>
                <c:pt idx="64">
                  <c:v>24.095068060164849</c:v>
                </c:pt>
                <c:pt idx="65">
                  <c:v>23.895447248741707</c:v>
                </c:pt>
                <c:pt idx="66">
                  <c:v>23.695844272246632</c:v>
                </c:pt>
                <c:pt idx="67">
                  <c:v>23.496259967778808</c:v>
                </c:pt>
                <c:pt idx="68">
                  <c:v>23.296695211558401</c:v>
                </c:pt>
                <c:pt idx="69">
                  <c:v>23.097150920738301</c:v>
                </c:pt>
                <c:pt idx="70">
                  <c:v>22.897628055299037</c:v>
                </c:pt>
                <c:pt idx="71">
                  <c:v>22.698127620028327</c:v>
                </c:pt>
                <c:pt idx="72">
                  <c:v>22.49865066659174</c:v>
                </c:pt>
                <c:pt idx="73">
                  <c:v>22.299198295695838</c:v>
                </c:pt>
                <c:pt idx="74">
                  <c:v>22.09977165934972</c:v>
                </c:pt>
                <c:pt idx="75">
                  <c:v>21.900371963227276</c:v>
                </c:pt>
                <c:pt idx="76">
                  <c:v>21.701000469137167</c:v>
                </c:pt>
                <c:pt idx="77">
                  <c:v>21.501658497601678</c:v>
                </c:pt>
                <c:pt idx="78">
                  <c:v>21.302347430552331</c:v>
                </c:pt>
                <c:pt idx="79">
                  <c:v>21.103068714144531</c:v>
                </c:pt>
                <c:pt idx="80">
                  <c:v>20.903823861697923</c:v>
                </c:pt>
                <c:pt idx="81">
                  <c:v>20.704614456767182</c:v>
                </c:pt>
                <c:pt idx="82">
                  <c:v>20.505442156348082</c:v>
                </c:pt>
                <c:pt idx="83">
                  <c:v>20.306308694224953</c:v>
                </c:pt>
                <c:pt idx="84">
                  <c:v>20.107215884465184</c:v>
                </c:pt>
                <c:pt idx="85">
                  <c:v>19.908165625066676</c:v>
                </c:pt>
                <c:pt idx="86">
                  <c:v>19.709159901763641</c:v>
                </c:pt>
                <c:pt idx="87">
                  <c:v>19.510200791998578</c:v>
                </c:pt>
                <c:pt idx="88">
                  <c:v>19.311290469065071</c:v>
                </c:pt>
                <c:pt idx="89">
                  <c:v>19.112431206429413</c:v>
                </c:pt>
                <c:pt idx="90">
                  <c:v>18.913625382236994</c:v>
                </c:pt>
                <c:pt idx="91">
                  <c:v>18.714875484011202</c:v>
                </c:pt>
                <c:pt idx="92">
                  <c:v>18.516184113551091</c:v>
                </c:pt>
                <c:pt idx="93">
                  <c:v>18.317553992036345</c:v>
                </c:pt>
                <c:pt idx="94">
                  <c:v>18.11898796534528</c:v>
                </c:pt>
                <c:pt idx="95">
                  <c:v>17.920489009595727</c:v>
                </c:pt>
                <c:pt idx="96">
                  <c:v>17.722060236914398</c:v>
                </c:pt>
                <c:pt idx="97">
                  <c:v>17.523704901444038</c:v>
                </c:pt>
                <c:pt idx="98">
                  <c:v>17.325426405595813</c:v>
                </c:pt>
                <c:pt idx="99">
                  <c:v>17.127228306554951</c:v>
                </c:pt>
                <c:pt idx="100">
                  <c:v>16.929114323048044</c:v>
                </c:pt>
                <c:pt idx="101">
                  <c:v>16.731088342379849</c:v>
                </c:pt>
                <c:pt idx="102">
                  <c:v>16.533154427748237</c:v>
                </c:pt>
                <c:pt idx="103">
                  <c:v>16.335316825844721</c:v>
                </c:pt>
                <c:pt idx="104">
                  <c:v>16.137579974749588</c:v>
                </c:pt>
                <c:pt idx="105">
                  <c:v>15.939948512129012</c:v>
                </c:pt>
                <c:pt idx="106">
                  <c:v>15.742427283742288</c:v>
                </c:pt>
                <c:pt idx="107">
                  <c:v>15.545021352266652</c:v>
                </c:pt>
                <c:pt idx="108">
                  <c:v>15.347736006447892</c:v>
                </c:pt>
                <c:pt idx="109">
                  <c:v>15.150576770582598</c:v>
                </c:pt>
                <c:pt idx="110">
                  <c:v>14.953549414340443</c:v>
                </c:pt>
                <c:pt idx="111">
                  <c:v>14.756659962931524</c:v>
                </c:pt>
                <c:pt idx="112">
                  <c:v>14.559914707625261</c:v>
                </c:pt>
                <c:pt idx="113">
                  <c:v>14.363320216626148</c:v>
                </c:pt>
                <c:pt idx="114">
                  <c:v>14.166883346310593</c:v>
                </c:pt>
                <c:pt idx="115">
                  <c:v>13.970611252828558</c:v>
                </c:pt>
                <c:pt idx="116">
                  <c:v>13.774511404073142</c:v>
                </c:pt>
                <c:pt idx="117">
                  <c:v>13.578591592019638</c:v>
                </c:pt>
                <c:pt idx="118">
                  <c:v>13.382859945434326</c:v>
                </c:pt>
                <c:pt idx="119">
                  <c:v>13.187324942952705</c:v>
                </c:pt>
                <c:pt idx="120">
                  <c:v>12.991995426524777</c:v>
                </c:pt>
                <c:pt idx="121">
                  <c:v>12.796880615223037</c:v>
                </c:pt>
                <c:pt idx="122">
                  <c:v>12.601990119407967</c:v>
                </c:pt>
                <c:pt idx="123">
                  <c:v>12.407333955242692</c:v>
                </c:pt>
                <c:pt idx="124">
                  <c:v>12.212922559547314</c:v>
                </c:pt>
                <c:pt idx="125">
                  <c:v>12.018766804979391</c:v>
                </c:pt>
                <c:pt idx="126">
                  <c:v>11.824878015526465</c:v>
                </c:pt>
                <c:pt idx="127">
                  <c:v>11.631267982291575</c:v>
                </c:pt>
                <c:pt idx="128">
                  <c:v>11.437948979550544</c:v>
                </c:pt>
                <c:pt idx="129">
                  <c:v>11.244933781056094</c:v>
                </c:pt>
                <c:pt idx="130">
                  <c:v>11.052235676560231</c:v>
                </c:pt>
                <c:pt idx="131">
                  <c:v>10.859868488521611</c:v>
                </c:pt>
                <c:pt idx="132">
                  <c:v>10.667846588960856</c:v>
                </c:pt>
                <c:pt idx="133">
                  <c:v>10.476184916422309</c:v>
                </c:pt>
                <c:pt idx="134">
                  <c:v>10.284898992994126</c:v>
                </c:pt>
                <c:pt idx="135">
                  <c:v>10.094004941335577</c:v>
                </c:pt>
                <c:pt idx="136">
                  <c:v>9.903519501651914</c:v>
                </c:pt>
                <c:pt idx="137">
                  <c:v>9.7134600485543192</c:v>
                </c:pt>
                <c:pt idx="138">
                  <c:v>9.5238446077323005</c:v>
                </c:pt>
                <c:pt idx="139">
                  <c:v>9.3346918723629919</c:v>
                </c:pt>
                <c:pt idx="140">
                  <c:v>9.1460212191714287</c:v>
                </c:pt>
                <c:pt idx="141">
                  <c:v>8.9578527240508272</c:v>
                </c:pt>
                <c:pt idx="142">
                  <c:v>8.7702071771428773</c:v>
                </c:pt>
                <c:pt idx="143">
                  <c:v>8.5831060972710507</c:v>
                </c:pt>
                <c:pt idx="144">
                  <c:v>8.3965717456110252</c:v>
                </c:pt>
                <c:pt idx="145">
                  <c:v>8.2106271384744272</c:v>
                </c:pt>
                <c:pt idx="146">
                  <c:v>8.0252960590741989</c:v>
                </c:pt>
                <c:pt idx="147">
                  <c:v>7.840603068129683</c:v>
                </c:pt>
                <c:pt idx="148">
                  <c:v>7.6565735131640356</c:v>
                </c:pt>
                <c:pt idx="149">
                  <c:v>7.4732335363346092</c:v>
                </c:pt>
                <c:pt idx="150">
                  <c:v>7.2906100806325664</c:v>
                </c:pt>
                <c:pt idx="151">
                  <c:v>7.1087308942763352</c:v>
                </c:pt>
                <c:pt idx="152">
                  <c:v>6.9276245331200421</c:v>
                </c:pt>
                <c:pt idx="153">
                  <c:v>6.7473203608881347</c:v>
                </c:pt>
                <c:pt idx="154">
                  <c:v>6.5678485470424874</c:v>
                </c:pt>
                <c:pt idx="155">
                  <c:v>6.3892400620839238</c:v>
                </c:pt>
                <c:pt idx="156">
                  <c:v>6.2115266700847069</c:v>
                </c:pt>
                <c:pt idx="157">
                  <c:v>6.0347409182452036</c:v>
                </c:pt>
                <c:pt idx="158">
                  <c:v>5.8589161232691724</c:v>
                </c:pt>
                <c:pt idx="159">
                  <c:v>5.6840863543488069</c:v>
                </c:pt>
                <c:pt idx="160">
                  <c:v>5.5102864125546702</c:v>
                </c:pt>
                <c:pt idx="161">
                  <c:v>5.3375518064304792</c:v>
                </c:pt>
                <c:pt idx="162">
                  <c:v>5.16591872359625</c:v>
                </c:pt>
                <c:pt idx="163">
                  <c:v>4.9954239981751085</c:v>
                </c:pt>
                <c:pt idx="164">
                  <c:v>4.826105073869444</c:v>
                </c:pt>
                <c:pt idx="165">
                  <c:v>4.6579999625250919</c:v>
                </c:pt>
                <c:pt idx="166">
                  <c:v>4.4911471980430164</c:v>
                </c:pt>
                <c:pt idx="167">
                  <c:v>4.3255857855149866</c:v>
                </c:pt>
                <c:pt idx="168">
                  <c:v>4.1613551454862678</c:v>
                </c:pt>
                <c:pt idx="169">
                  <c:v>3.9984950532747252</c:v>
                </c:pt>
                <c:pt idx="170">
                  <c:v>3.8370455733064861</c:v>
                </c:pt>
                <c:pt idx="171">
                  <c:v>3.6770469884628736</c:v>
                </c:pt>
                <c:pt idx="172">
                  <c:v>3.518539724470255</c:v>
                </c:pt>
                <c:pt idx="173">
                  <c:v>3.3615642694070806</c:v>
                </c:pt>
                <c:pt idx="174">
                  <c:v>3.2061610884423479</c:v>
                </c:pt>
                <c:pt idx="175">
                  <c:v>3.052370533970687</c:v>
                </c:pt>
                <c:pt idx="176">
                  <c:v>2.9002327513546455</c:v>
                </c:pt>
                <c:pt idx="177">
                  <c:v>2.7497875805375536</c:v>
                </c:pt>
                <c:pt idx="178">
                  <c:v>2.6010744538405444</c:v>
                </c:pt>
                <c:pt idx="179">
                  <c:v>2.4541322903120686</c:v>
                </c:pt>
                <c:pt idx="180">
                  <c:v>2.3089993870496275</c:v>
                </c:pt>
                <c:pt idx="181">
                  <c:v>2.165713307967664</c:v>
                </c:pt>
                <c:pt idx="182">
                  <c:v>2.0243107705332077</c:v>
                </c:pt>
                <c:pt idx="183">
                  <c:v>1.8848275310429781</c:v>
                </c:pt>
                <c:pt idx="184">
                  <c:v>1.7472982690594472</c:v>
                </c:pt>
                <c:pt idx="185">
                  <c:v>1.6117564716632655</c:v>
                </c:pt>
                <c:pt idx="186">
                  <c:v>1.4782343182179745</c:v>
                </c:pt>
                <c:pt idx="187">
                  <c:v>1.3467625663728098</c:v>
                </c:pt>
                <c:pt idx="188">
                  <c:v>1.2173704400511305</c:v>
                </c:pt>
                <c:pt idx="189">
                  <c:v>1.0900855201908846</c:v>
                </c:pt>
                <c:pt idx="190">
                  <c:v>0.96493363900917672</c:v>
                </c:pt>
                <c:pt idx="191">
                  <c:v>0.84193877856402599</c:v>
                </c:pt>
                <c:pt idx="192">
                  <c:v>0.72112297437437411</c:v>
                </c:pt>
                <c:pt idx="193">
                  <c:v>0.60250622484250249</c:v>
                </c:pt>
                <c:pt idx="194">
                  <c:v>0.48610640719079079</c:v>
                </c:pt>
                <c:pt idx="195">
                  <c:v>0.3719392005895103</c:v>
                </c:pt>
                <c:pt idx="196">
                  <c:v>0.26001801710131195</c:v>
                </c:pt>
                <c:pt idx="197">
                  <c:v>0.15035394101339808</c:v>
                </c:pt>
                <c:pt idx="198">
                  <c:v>4.295567706225787E-2</c:v>
                </c:pt>
                <c:pt idx="199">
                  <c:v>-6.2170492016079971E-2</c:v>
                </c:pt>
                <c:pt idx="200">
                  <c:v>-0.16502073825702313</c:v>
                </c:pt>
                <c:pt idx="201">
                  <c:v>-0.26559371129013398</c:v>
                </c:pt>
                <c:pt idx="202">
                  <c:v>-0.36389055103291734</c:v>
                </c:pt>
                <c:pt idx="203">
                  <c:v>-0.45991489016647763</c:v>
                </c:pt>
                <c:pt idx="204">
                  <c:v>-0.55367284639623904</c:v>
                </c:pt>
                <c:pt idx="205">
                  <c:v>-0.64517300459508309</c:v>
                </c:pt>
                <c:pt idx="206">
                  <c:v>-0.73442638901508983</c:v>
                </c:pt>
                <c:pt idx="207">
                  <c:v>-0.82144642584628036</c:v>
                </c:pt>
                <c:pt idx="208">
                  <c:v>-0.90624889648180329</c:v>
                </c:pt>
                <c:pt idx="209">
                  <c:v>-0.98885188193052387</c:v>
                </c:pt>
                <c:pt idx="210">
                  <c:v>-1.0692756988897794</c:v>
                </c:pt>
                <c:pt idx="211">
                  <c:v>-1.1475428280557602</c:v>
                </c:pt>
                <c:pt idx="212">
                  <c:v>-1.2236778353078921</c:v>
                </c:pt>
                <c:pt idx="213">
                  <c:v>-1.297707286448722</c:v>
                </c:pt>
                <c:pt idx="214">
                  <c:v>-1.3696596562227892</c:v>
                </c:pt>
                <c:pt idx="215">
                  <c:v>-1.4395652323658268</c:v>
                </c:pt>
                <c:pt idx="216">
                  <c:v>-1.5074560154542391</c:v>
                </c:pt>
                <c:pt idx="217">
                  <c:v>-1.573365615337954</c:v>
                </c:pt>
                <c:pt idx="218">
                  <c:v>-1.6373291449379035</c:v>
                </c:pt>
                <c:pt idx="219">
                  <c:v>-1.6993831121833891</c:v>
                </c:pt>
                <c:pt idx="220">
                  <c:v>-1.7595653108480236</c:v>
                </c:pt>
                <c:pt idx="221">
                  <c:v>-1.8179147110196863</c:v>
                </c:pt>
                <c:pt idx="222">
                  <c:v>-1.8744713499099053</c:v>
                </c:pt>
                <c:pt idx="223">
                  <c:v>-1.9292762236712966</c:v>
                </c:pt>
                <c:pt idx="224">
                  <c:v>-1.9823711808517233</c:v>
                </c:pt>
                <c:pt idx="225">
                  <c:v>-2.0337988180676478</c:v>
                </c:pt>
                <c:pt idx="226">
                  <c:v>-2.0836023784304194</c:v>
                </c:pt>
                <c:pt idx="227">
                  <c:v>-2.1318256532102264</c:v>
                </c:pt>
                <c:pt idx="228">
                  <c:v>-2.1785128871680719</c:v>
                </c:pt>
                <c:pt idx="229">
                  <c:v>-2.2237086879333652</c:v>
                </c:pt>
                <c:pt idx="230">
                  <c:v>-2.2674579397541867</c:v>
                </c:pt>
                <c:pt idx="231">
                  <c:v>-2.3098057218915882</c:v>
                </c:pt>
                <c:pt idx="232">
                  <c:v>-2.3507972318815265</c:v>
                </c:pt>
                <c:pt idx="233">
                  <c:v>-2.3904777138361357</c:v>
                </c:pt>
                <c:pt idx="234">
                  <c:v>-2.4288923919132528</c:v>
                </c:pt>
                <c:pt idx="235">
                  <c:v>-2.4660864090342702</c:v>
                </c:pt>
                <c:pt idx="236">
                  <c:v>-2.5021047708933741</c:v>
                </c:pt>
                <c:pt idx="237">
                  <c:v>-2.5369922952615074</c:v>
                </c:pt>
                <c:pt idx="238">
                  <c:v>-2.570793566552894</c:v>
                </c:pt>
                <c:pt idx="239">
                  <c:v>-2.6035528955928822</c:v>
                </c:pt>
                <c:pt idx="240">
                  <c:v>-2.6353142844957631</c:v>
                </c:pt>
                <c:pt idx="241">
                  <c:v>-2.6661213965368691</c:v>
                </c:pt>
                <c:pt idx="242">
                  <c:v>-2.6960175308837311</c:v>
                </c:pt>
                <c:pt idx="243">
                  <c:v>-2.7250456020295948</c:v>
                </c:pt>
                <c:pt idx="244">
                  <c:v>-2.753248123759537</c:v>
                </c:pt>
                <c:pt idx="245">
                  <c:v>-2.7806671974656565</c:v>
                </c:pt>
                <c:pt idx="246">
                  <c:v>-2.8073445046183787</c:v>
                </c:pt>
                <c:pt idx="247">
                  <c:v>-2.8333213031917297</c:v>
                </c:pt>
                <c:pt idx="248">
                  <c:v>-2.858638427837128</c:v>
                </c:pt>
                <c:pt idx="249">
                  <c:v>-2.8833362935936258</c:v>
                </c:pt>
                <c:pt idx="250">
                  <c:v>-2.9074549029230523</c:v>
                </c:pt>
                <c:pt idx="251">
                  <c:v>-2.9310338558561506</c:v>
                </c:pt>
                <c:pt idx="252">
                  <c:v>-2.9541123630369843</c:v>
                </c:pt>
                <c:pt idx="253">
                  <c:v>-2.9767292614543628</c:v>
                </c:pt>
                <c:pt idx="254">
                  <c:v>-2.9989230326521215</c:v>
                </c:pt>
                <c:pt idx="255">
                  <c:v>-3.0207318232114817</c:v>
                </c:pt>
                <c:pt idx="256">
                  <c:v>-3.0421934673047475</c:v>
                </c:pt>
                <c:pt idx="257">
                  <c:v>-3.0633455111205263</c:v>
                </c:pt>
                <c:pt idx="258">
                  <c:v>-3.0842252389672731</c:v>
                </c:pt>
                <c:pt idx="259">
                  <c:v>-3.1048697008641191</c:v>
                </c:pt>
                <c:pt idx="260">
                  <c:v>-3.125315741432499</c:v>
                </c:pt>
                <c:pt idx="261">
                  <c:v>-3.1456000299061406</c:v>
                </c:pt>
                <c:pt idx="262">
                  <c:v>-3.1657590910795053</c:v>
                </c:pt>
                <c:pt idx="263">
                  <c:v>-3.1858293370181996</c:v>
                </c:pt>
                <c:pt idx="264">
                  <c:v>-3.205847099357169</c:v>
                </c:pt>
                <c:pt idx="265">
                  <c:v>-3.225848662015522</c:v>
                </c:pt>
                <c:pt idx="266">
                  <c:v>-3.2458702941561102</c:v>
                </c:pt>
                <c:pt idx="267">
                  <c:v>-3.2659482832209847</c:v>
                </c:pt>
                <c:pt idx="268">
                  <c:v>-3.2861189678732221</c:v>
                </c:pt>
                <c:pt idx="269">
                  <c:v>-3.3064187706750303</c:v>
                </c:pt>
                <c:pt idx="270">
                  <c:v>-3.3268842303317565</c:v>
                </c:pt>
                <c:pt idx="271">
                  <c:v>-3.3475520333291358</c:v>
                </c:pt>
                <c:pt idx="272">
                  <c:v>-3.3684590447905305</c:v>
                </c:pt>
                <c:pt idx="273">
                  <c:v>-3.3896423383754821</c:v>
                </c:pt>
                <c:pt idx="274">
                  <c:v>-3.4111392250419343</c:v>
                </c:pt>
                <c:pt idx="275">
                  <c:v>-3.432987280487183</c:v>
                </c:pt>
                <c:pt idx="276">
                  <c:v>-3.455224371081278</c:v>
                </c:pt>
                <c:pt idx="277">
                  <c:v>-3.4778886781022749</c:v>
                </c:pt>
                <c:pt idx="278">
                  <c:v>-3.5010187200780463</c:v>
                </c:pt>
                <c:pt idx="279">
                  <c:v>-3.5246533730363998</c:v>
                </c:pt>
                <c:pt idx="280">
                  <c:v>-3.5488318884603478</c:v>
                </c:pt>
                <c:pt idx="281">
                  <c:v>-3.5735939087430739</c:v>
                </c:pt>
                <c:pt idx="282">
                  <c:v>-3.5989794799331771</c:v>
                </c:pt>
                <c:pt idx="283">
                  <c:v>-3.6250290615590979</c:v>
                </c:pt>
                <c:pt idx="284">
                  <c:v>-3.6517835333195201</c:v>
                </c:pt>
                <c:pt idx="285">
                  <c:v>-3.6792841984267088</c:v>
                </c:pt>
                <c:pt idx="286">
                  <c:v>-3.7075727833901384</c:v>
                </c:pt>
                <c:pt idx="287">
                  <c:v>-3.7366914340297344</c:v>
                </c:pt>
                <c:pt idx="288">
                  <c:v>-3.7666827075133638</c:v>
                </c:pt>
                <c:pt idx="289">
                  <c:v>-3.7975895602168568</c:v>
                </c:pt>
                <c:pt idx="290">
                  <c:v>-3.829455331215347</c:v>
                </c:pt>
                <c:pt idx="291">
                  <c:v>-3.8623237212228489</c:v>
                </c:pt>
                <c:pt idx="292">
                  <c:v>-3.8962387668120084</c:v>
                </c:pt>
                <c:pt idx="293">
                  <c:v>-3.9312448097596109</c:v>
                </c:pt>
                <c:pt idx="294">
                  <c:v>-3.9673864613844376</c:v>
                </c:pt>
                <c:pt idx="295">
                  <c:v>-4.0047085617638443</c:v>
                </c:pt>
                <c:pt idx="296">
                  <c:v>-4.0432561337414166</c:v>
                </c:pt>
                <c:pt idx="297">
                  <c:v>-4.0830743316668379</c:v>
                </c:pt>
                <c:pt idx="298">
                  <c:v>-4.1242083848397932</c:v>
                </c:pt>
                <c:pt idx="299">
                  <c:v>-4.1667035356654667</c:v>
                </c:pt>
                <c:pt idx="300">
                  <c:v>-4.2106049725675962</c:v>
                </c:pt>
                <c:pt idx="301">
                  <c:v>-4.2559577577455405</c:v>
                </c:pt>
                <c:pt idx="302">
                  <c:v>-4.3028067499077318</c:v>
                </c:pt>
                <c:pt idx="303">
                  <c:v>-4.3511965221591797</c:v>
                </c:pt>
                <c:pt idx="304">
                  <c:v>-4.4011712752706007</c:v>
                </c:pt>
                <c:pt idx="305">
                  <c:v>-4.4527747466090997</c:v>
                </c:pt>
                <c:pt idx="306">
                  <c:v>-4.5060501150590699</c:v>
                </c:pt>
                <c:pt idx="307">
                  <c:v>-4.5610399023191315</c:v>
                </c:pt>
                <c:pt idx="308">
                  <c:v>-4.6177858710114696</c:v>
                </c:pt>
                <c:pt idx="309">
                  <c:v>-4.6763289200915708</c:v>
                </c:pt>
                <c:pt idx="310">
                  <c:v>-4.736708978099081</c:v>
                </c:pt>
                <c:pt idx="311">
                  <c:v>-4.7989648948374377</c:v>
                </c:pt>
                <c:pt idx="312">
                  <c:v>-4.8631343321141127</c:v>
                </c:pt>
                <c:pt idx="313">
                  <c:v>-4.9292536542156027</c:v>
                </c:pt>
                <c:pt idx="314">
                  <c:v>-4.9973578188253249</c:v>
                </c:pt>
                <c:pt idx="315">
                  <c:v>-5.0674802691228464</c:v>
                </c:pt>
                <c:pt idx="316">
                  <c:v>-5.1396528278255849</c:v>
                </c:pt>
                <c:pt idx="317">
                  <c:v>-5.2139055939485468</c:v>
                </c:pt>
                <c:pt idx="318">
                  <c:v>-5.2902668430652167</c:v>
                </c:pt>
                <c:pt idx="319">
                  <c:v>-5.3687629318498651</c:v>
                </c:pt>
                <c:pt idx="320">
                  <c:v>-5.449418207671858</c:v>
                </c:pt>
                <c:pt idx="321">
                  <c:v>-5.5322549239892149</c:v>
                </c:pt>
                <c:pt idx="322">
                  <c:v>-5.6172931622614</c:v>
                </c:pt>
                <c:pt idx="323">
                  <c:v>-5.7045507610585275</c:v>
                </c:pt>
                <c:pt idx="324">
                  <c:v>-5.7940432529973487</c:v>
                </c:pt>
                <c:pt idx="325">
                  <c:v>-5.8857838100751723</c:v>
                </c:pt>
                <c:pt idx="326">
                  <c:v>-5.9797831979072473</c:v>
                </c:pt>
                <c:pt idx="327">
                  <c:v>-6.0760497392987975</c:v>
                </c:pt>
                <c:pt idx="328">
                  <c:v>-6.1745892875057828</c:v>
                </c:pt>
                <c:pt idx="329">
                  <c:v>-6.2754052094489712</c:v>
                </c:pt>
                <c:pt idx="330">
                  <c:v>-6.3784983790624405</c:v>
                </c:pt>
                <c:pt idx="331">
                  <c:v>-6.4838671808603232</c:v>
                </c:pt>
                <c:pt idx="332">
                  <c:v>-6.5915075237172882</c:v>
                </c:pt>
                <c:pt idx="333">
                  <c:v>-6.701412864762732</c:v>
                </c:pt>
                <c:pt idx="334">
                  <c:v>-6.8135742431990378</c:v>
                </c:pt>
                <c:pt idx="335">
                  <c:v>-6.9279803237639648</c:v>
                </c:pt>
                <c:pt idx="336">
                  <c:v>-7.0446174494772453</c:v>
                </c:pt>
                <c:pt idx="337">
                  <c:v>-7.1634697032281363</c:v>
                </c:pt>
                <c:pt idx="338">
                  <c:v>-7.2845189776931321</c:v>
                </c:pt>
                <c:pt idx="339">
                  <c:v>-7.4077450530064901</c:v>
                </c:pt>
                <c:pt idx="340">
                  <c:v>-7.5331256815511125</c:v>
                </c:pt>
                <c:pt idx="341">
                  <c:v>-7.660636679189798</c:v>
                </c:pt>
                <c:pt idx="342">
                  <c:v>-7.7902520222208835</c:v>
                </c:pt>
                <c:pt idx="343">
                  <c:v>-7.921943949311439</c:v>
                </c:pt>
                <c:pt idx="344">
                  <c:v>-8.0556830676453401</c:v>
                </c:pt>
                <c:pt idx="345">
                  <c:v>-8.1914384625135952</c:v>
                </c:pt>
                <c:pt idx="346">
                  <c:v>-8.3291778095736397</c:v>
                </c:pt>
                <c:pt idx="347">
                  <c:v>-8.4688674890142739</c:v>
                </c:pt>
                <c:pt idx="348">
                  <c:v>-8.6104727008795798</c:v>
                </c:pt>
                <c:pt idx="349">
                  <c:v>-8.7539575808289811</c:v>
                </c:pt>
                <c:pt idx="350">
                  <c:v>-8.8992853156428993</c:v>
                </c:pt>
                <c:pt idx="351">
                  <c:v>-9.0464182578183348</c:v>
                </c:pt>
                <c:pt idx="352">
                  <c:v>-9.1953180386426556</c:v>
                </c:pt>
                <c:pt idx="353">
                  <c:v>-9.3459456791776248</c:v>
                </c:pt>
                <c:pt idx="354">
                  <c:v>-9.4982616986361847</c:v>
                </c:pt>
                <c:pt idx="355">
                  <c:v>-9.6522262196842163</c:v>
                </c:pt>
                <c:pt idx="356">
                  <c:v>-9.8077990702527789</c:v>
                </c:pt>
                <c:pt idx="357">
                  <c:v>-9.9649398814989212</c:v>
                </c:pt>
                <c:pt idx="358">
                  <c:v>-10.123608181606524</c:v>
                </c:pt>
                <c:pt idx="359">
                  <c:v>-10.283763485169287</c:v>
                </c:pt>
                <c:pt idx="360">
                  <c:v>-10.445365377949773</c:v>
                </c:pt>
                <c:pt idx="361">
                  <c:v>-10.608373596857101</c:v>
                </c:pt>
                <c:pt idx="362">
                  <c:v>-10.772748105030477</c:v>
                </c:pt>
                <c:pt idx="363">
                  <c:v>-10.938449161961074</c:v>
                </c:pt>
                <c:pt idx="364">
                  <c:v>-11.105437388623344</c:v>
                </c:pt>
                <c:pt idx="365">
                  <c:v>-11.27367382762672</c:v>
                </c:pt>
                <c:pt idx="366">
                  <c:v>-11.443119998428571</c:v>
                </c:pt>
                <c:pt idx="367">
                  <c:v>-11.613737947684054</c:v>
                </c:pt>
                <c:pt idx="368">
                  <c:v>-11.785490294832332</c:v>
                </c:pt>
                <c:pt idx="369">
                  <c:v>-11.95834027304304</c:v>
                </c:pt>
                <c:pt idx="370">
                  <c:v>-12.132251765668542</c:v>
                </c:pt>
                <c:pt idx="371">
                  <c:v>-12.307189338363356</c:v>
                </c:pt>
                <c:pt idx="372">
                  <c:v>-12.483118267045306</c:v>
                </c:pt>
                <c:pt idx="373">
                  <c:v>-12.660004561887089</c:v>
                </c:pt>
                <c:pt idx="374">
                  <c:v>-12.837814987532653</c:v>
                </c:pt>
                <c:pt idx="375">
                  <c:v>-13.016517079741</c:v>
                </c:pt>
                <c:pt idx="376">
                  <c:v>-13.196079158661544</c:v>
                </c:pt>
                <c:pt idx="377">
                  <c:v>-13.376470338949652</c:v>
                </c:pt>
                <c:pt idx="378">
                  <c:v>-13.557660536929481</c:v>
                </c:pt>
                <c:pt idx="379">
                  <c:v>-13.739620475008799</c:v>
                </c:pt>
                <c:pt idx="380">
                  <c:v>-13.922321683550301</c:v>
                </c:pt>
                <c:pt idx="381">
                  <c:v>-14.105736500395164</c:v>
                </c:pt>
                <c:pt idx="382">
                  <c:v>-14.289838068234982</c:v>
                </c:pt>
                <c:pt idx="383">
                  <c:v>-14.474600330016381</c:v>
                </c:pt>
                <c:pt idx="384">
                  <c:v>-14.659998022559588</c:v>
                </c:pt>
                <c:pt idx="385">
                  <c:v>-14.846006668563623</c:v>
                </c:pt>
                <c:pt idx="386">
                  <c:v>-15.032602567162424</c:v>
                </c:pt>
                <c:pt idx="387">
                  <c:v>-15.219762783188504</c:v>
                </c:pt>
                <c:pt idx="388">
                  <c:v>-15.407465135292655</c:v>
                </c:pt>
                <c:pt idx="389">
                  <c:v>-15.595688183059364</c:v>
                </c:pt>
                <c:pt idx="390">
                  <c:v>-15.78441121324934</c:v>
                </c:pt>
                <c:pt idx="391">
                  <c:v>-15.973614225291657</c:v>
                </c:pt>
                <c:pt idx="392">
                  <c:v>-16.163277916141062</c:v>
                </c:pt>
                <c:pt idx="393">
                  <c:v>-16.353383664606092</c:v>
                </c:pt>
                <c:pt idx="394">
                  <c:v>-16.543913515247056</c:v>
                </c:pt>
                <c:pt idx="395">
                  <c:v>-16.73485016193538</c:v>
                </c:pt>
                <c:pt idx="396">
                  <c:v>-16.926176931156785</c:v>
                </c:pt>
                <c:pt idx="397">
                  <c:v>-17.117877765136729</c:v>
                </c:pt>
                <c:pt idx="398">
                  <c:v>-17.309937204856162</c:v>
                </c:pt>
                <c:pt idx="399">
                  <c:v>-17.502340373022946</c:v>
                </c:pt>
                <c:pt idx="400">
                  <c:v>-17.69507295705538</c:v>
                </c:pt>
                <c:pt idx="401">
                  <c:v>-17.888121192129564</c:v>
                </c:pt>
                <c:pt idx="402">
                  <c:v>-18.081471844337912</c:v>
                </c:pt>
                <c:pt idx="403">
                  <c:v>-18.275112194000112</c:v>
                </c:pt>
                <c:pt idx="404">
                  <c:v>-18.469030019162094</c:v>
                </c:pt>
                <c:pt idx="405">
                  <c:v>-18.663213579317553</c:v>
                </c:pt>
                <c:pt idx="406">
                  <c:v>-18.857651599377952</c:v>
                </c:pt>
                <c:pt idx="407">
                  <c:v>-19.052333253917581</c:v>
                </c:pt>
                <c:pt idx="408">
                  <c:v>-19.247248151713514</c:v>
                </c:pt>
                <c:pt idx="409">
                  <c:v>-19.442386320599184</c:v>
                </c:pt>
                <c:pt idx="410">
                  <c:v>-19.637738192645781</c:v>
                </c:pt>
                <c:pt idx="411">
                  <c:v>-19.833294589684197</c:v>
                </c:pt>
                <c:pt idx="412">
                  <c:v>-20.029046709177717</c:v>
                </c:pt>
                <c:pt idx="413">
                  <c:v>-20.224986110452321</c:v>
                </c:pt>
                <c:pt idx="414">
                  <c:v>-20.421104701290137</c:v>
                </c:pt>
                <c:pt idx="415">
                  <c:v>-20.617394724890971</c:v>
                </c:pt>
                <c:pt idx="416">
                  <c:v>-20.813848747202716</c:v>
                </c:pt>
                <c:pt idx="417">
                  <c:v>-21.010459644621726</c:v>
                </c:pt>
                <c:pt idx="418">
                  <c:v>-21.207220592062718</c:v>
                </c:pt>
                <c:pt idx="419">
                  <c:v>-21.404125051396164</c:v>
                </c:pt>
                <c:pt idx="420">
                  <c:v>-21.60116676025007</c:v>
                </c:pt>
                <c:pt idx="421">
                  <c:v>-21.798339721172731</c:v>
                </c:pt>
                <c:pt idx="422">
                  <c:v>-21.995638191151411</c:v>
                </c:pt>
                <c:pt idx="423">
                  <c:v>-22.193056671482072</c:v>
                </c:pt>
                <c:pt idx="424">
                  <c:v>-22.390589897983926</c:v>
                </c:pt>
                <c:pt idx="425">
                  <c:v>-22.588232831552688</c:v>
                </c:pt>
                <c:pt idx="426">
                  <c:v>-22.785980649045143</c:v>
                </c:pt>
                <c:pt idx="427">
                  <c:v>-22.983828734488579</c:v>
                </c:pt>
                <c:pt idx="428">
                  <c:v>-23.181772670607014</c:v>
                </c:pt>
                <c:pt idx="429">
                  <c:v>-23.37980823065649</c:v>
                </c:pt>
                <c:pt idx="430">
                  <c:v>-23.57793137056219</c:v>
                </c:pt>
                <c:pt idx="431">
                  <c:v>-23.776138221348347</c:v>
                </c:pt>
                <c:pt idx="432">
                  <c:v>-23.974425081853482</c:v>
                </c:pt>
                <c:pt idx="433">
                  <c:v>-24.172788411722795</c:v>
                </c:pt>
                <c:pt idx="434">
                  <c:v>-24.371224824669348</c:v>
                </c:pt>
                <c:pt idx="435">
                  <c:v>-24.569731081995336</c:v>
                </c:pt>
                <c:pt idx="436">
                  <c:v>-24.768304086366651</c:v>
                </c:pt>
                <c:pt idx="437">
                  <c:v>-24.966940875831497</c:v>
                </c:pt>
                <c:pt idx="438">
                  <c:v>-25.16563861807548</c:v>
                </c:pt>
                <c:pt idx="439">
                  <c:v>-25.364394604905165</c:v>
                </c:pt>
                <c:pt idx="440">
                  <c:v>-25.563206246952952</c:v>
                </c:pt>
                <c:pt idx="441">
                  <c:v>-25.762071068594675</c:v>
                </c:pt>
                <c:pt idx="442">
                  <c:v>-25.960986703073434</c:v>
                </c:pt>
                <c:pt idx="443">
                  <c:v>-26.159950887821925</c:v>
                </c:pt>
                <c:pt idx="444">
                  <c:v>-26.358961459975223</c:v>
                </c:pt>
                <c:pt idx="445">
                  <c:v>-26.558016352069632</c:v>
                </c:pt>
                <c:pt idx="446">
                  <c:v>-26.757113587917608</c:v>
                </c:pt>
                <c:pt idx="447">
                  <c:v>-26.956251278654278</c:v>
                </c:pt>
                <c:pt idx="448">
                  <c:v>-27.15542761894859</c:v>
                </c:pt>
                <c:pt idx="449">
                  <c:v>-27.354640883372547</c:v>
                </c:pt>
                <c:pt idx="450">
                  <c:v>-27.553889422922797</c:v>
                </c:pt>
                <c:pt idx="451">
                  <c:v>-27.75317166168831</c:v>
                </c:pt>
                <c:pt idx="452">
                  <c:v>-27.952486093659012</c:v>
                </c:pt>
                <c:pt idx="453">
                  <c:v>-28.151831279669281</c:v>
                </c:pt>
                <c:pt idx="454">
                  <c:v>-28.351205844471437</c:v>
                </c:pt>
                <c:pt idx="455">
                  <c:v>-28.550608473933504</c:v>
                </c:pt>
                <c:pt idx="456">
                  <c:v>-28.750037912356884</c:v>
                </c:pt>
                <c:pt idx="457">
                  <c:v>-28.949492959908536</c:v>
                </c:pt>
                <c:pt idx="458">
                  <c:v>-29.148972470163802</c:v>
                </c:pt>
                <c:pt idx="459">
                  <c:v>-29.348475347754238</c:v>
                </c:pt>
                <c:pt idx="460">
                  <c:v>-29.548000546117006</c:v>
                </c:pt>
                <c:pt idx="461">
                  <c:v>-29.747547065341774</c:v>
                </c:pt>
                <c:pt idx="462">
                  <c:v>-29.9471139501102</c:v>
                </c:pt>
                <c:pt idx="463">
                  <c:v>-30.146700287725089</c:v>
                </c:pt>
                <c:pt idx="464">
                  <c:v>-30.346305206225036</c:v>
                </c:pt>
                <c:pt idx="465">
                  <c:v>-30.54592787258099</c:v>
                </c:pt>
                <c:pt idx="466">
                  <c:v>-30.745567490971304</c:v>
                </c:pt>
                <c:pt idx="467">
                  <c:v>-30.945223301132017</c:v>
                </c:pt>
                <c:pt idx="468">
                  <c:v>-31.144894576779642</c:v>
                </c:pt>
                <c:pt idx="469">
                  <c:v>-31.344580624102282</c:v>
                </c:pt>
                <c:pt idx="470">
                  <c:v>-31.544280780317152</c:v>
                </c:pt>
                <c:pt idx="471">
                  <c:v>-31.743994412291361</c:v>
                </c:pt>
                <c:pt idx="472">
                  <c:v>-31.943720915223789</c:v>
                </c:pt>
                <c:pt idx="473">
                  <c:v>-32.143459711383251</c:v>
                </c:pt>
                <c:pt idx="474">
                  <c:v>-32.343210248904356</c:v>
                </c:pt>
                <c:pt idx="475">
                  <c:v>-32.542972000634968</c:v>
                </c:pt>
                <c:pt idx="476">
                  <c:v>-32.742744463034668</c:v>
                </c:pt>
                <c:pt idx="477">
                  <c:v>-32.942527155122406</c:v>
                </c:pt>
                <c:pt idx="478">
                  <c:v>-33.142319617469987</c:v>
                </c:pt>
                <c:pt idx="479">
                  <c:v>-33.342121411240477</c:v>
                </c:pt>
                <c:pt idx="480">
                  <c:v>-33.541932117269091</c:v>
                </c:pt>
                <c:pt idx="481">
                  <c:v>-33.741751335184802</c:v>
                </c:pt>
                <c:pt idx="482">
                  <c:v>-33.94157868257021</c:v>
                </c:pt>
                <c:pt idx="483">
                  <c:v>-34.141413794160172</c:v>
                </c:pt>
                <c:pt idx="484">
                  <c:v>-34.341256321074411</c:v>
                </c:pt>
                <c:pt idx="485">
                  <c:v>-34.541105930084882</c:v>
                </c:pt>
                <c:pt idx="486">
                  <c:v>-34.740962302916174</c:v>
                </c:pt>
                <c:pt idx="487">
                  <c:v>-34.940825135576013</c:v>
                </c:pt>
                <c:pt idx="488">
                  <c:v>-35.140694137716281</c:v>
                </c:pt>
                <c:pt idx="489">
                  <c:v>-35.340569032022351</c:v>
                </c:pt>
                <c:pt idx="490">
                  <c:v>-35.540449553629102</c:v>
                </c:pt>
                <c:pt idx="491">
                  <c:v>-35.740335449563787</c:v>
                </c:pt>
                <c:pt idx="492">
                  <c:v>-35.940226478213276</c:v>
                </c:pt>
                <c:pt idx="493">
                  <c:v>-36.140122408814676</c:v>
                </c:pt>
                <c:pt idx="494">
                  <c:v>-36.340023020969682</c:v>
                </c:pt>
                <c:pt idx="495">
                  <c:v>-36.539928104179573</c:v>
                </c:pt>
                <c:pt idx="496">
                  <c:v>-36.739837457401272</c:v>
                </c:pt>
                <c:pt idx="497">
                  <c:v>-36.939750888624118</c:v>
                </c:pt>
                <c:pt idx="498">
                  <c:v>-37.139668214463846</c:v>
                </c:pt>
                <c:pt idx="499">
                  <c:v>-37.339589259776382</c:v>
                </c:pt>
                <c:pt idx="500">
                  <c:v>-37.539513857287879</c:v>
                </c:pt>
                <c:pt idx="501">
                  <c:v>-37.739441847241451</c:v>
                </c:pt>
                <c:pt idx="502">
                  <c:v>-37.939373077060139</c:v>
                </c:pt>
                <c:pt idx="503">
                  <c:v>-38.139307401024723</c:v>
                </c:pt>
                <c:pt idx="504">
                  <c:v>-38.339244679965468</c:v>
                </c:pt>
                <c:pt idx="505">
                  <c:v>-38.539184780968625</c:v>
                </c:pt>
                <c:pt idx="506">
                  <c:v>-38.739127577095246</c:v>
                </c:pt>
                <c:pt idx="507">
                  <c:v>-38.939072947112862</c:v>
                </c:pt>
                <c:pt idx="508">
                  <c:v>-39.1390207752397</c:v>
                </c:pt>
                <c:pt idx="509">
                  <c:v>-39.338970950899359</c:v>
                </c:pt>
                <c:pt idx="510">
                  <c:v>-39.538923368487112</c:v>
                </c:pt>
                <c:pt idx="511">
                  <c:v>-39.738877927146881</c:v>
                </c:pt>
                <c:pt idx="512">
                  <c:v>-39.9388345305575</c:v>
                </c:pt>
                <c:pt idx="513">
                  <c:v>-40.138793086729343</c:v>
                </c:pt>
                <c:pt idx="514">
                  <c:v>-40.338753507809521</c:v>
                </c:pt>
                <c:pt idx="515">
                  <c:v>-40.538715709895868</c:v>
                </c:pt>
                <c:pt idx="516">
                  <c:v>-40.738679612859805</c:v>
                </c:pt>
                <c:pt idx="517">
                  <c:v>-40.93864514017632</c:v>
                </c:pt>
                <c:pt idx="518">
                  <c:v>-41.138612218762354</c:v>
                </c:pt>
                <c:pt idx="519">
                  <c:v>-41.338580778821793</c:v>
                </c:pt>
                <c:pt idx="520">
                  <c:v>-41.538550753698004</c:v>
                </c:pt>
                <c:pt idx="521">
                  <c:v>-41.738522079732547</c:v>
                </c:pt>
                <c:pt idx="522">
                  <c:v>-41.938494696130427</c:v>
                </c:pt>
                <c:pt idx="523">
                  <c:v>-42.138468544831376</c:v>
                </c:pt>
                <c:pt idx="524">
                  <c:v>-42.338443570386787</c:v>
                </c:pt>
                <c:pt idx="525">
                  <c:v>-42.538419719842565</c:v>
                </c:pt>
                <c:pt idx="526">
                  <c:v>-42.738396942626721</c:v>
                </c:pt>
                <c:pt idx="527">
                  <c:v>-42.938375190442315</c:v>
                </c:pt>
                <c:pt idx="528">
                  <c:v>-43.138354417165246</c:v>
                </c:pt>
                <c:pt idx="529">
                  <c:v>-43.338334578746327</c:v>
                </c:pt>
                <c:pt idx="530">
                  <c:v>-43.538315633118302</c:v>
                </c:pt>
                <c:pt idx="531">
                  <c:v>-43.738297540106458</c:v>
                </c:pt>
                <c:pt idx="532">
                  <c:v>-43.938280261343515</c:v>
                </c:pt>
                <c:pt idx="533">
                  <c:v>-44.138263760188408</c:v>
                </c:pt>
                <c:pt idx="534">
                  <c:v>-44.33824800164885</c:v>
                </c:pt>
                <c:pt idx="535">
                  <c:v>-44.538232952306736</c:v>
                </c:pt>
                <c:pt idx="536">
                  <c:v>-44.738218580247569</c:v>
                </c:pt>
                <c:pt idx="537">
                  <c:v>-44.938204854993053</c:v>
                </c:pt>
                <c:pt idx="538">
                  <c:v>-45.138191747435997</c:v>
                </c:pt>
                <c:pt idx="539">
                  <c:v>-45.338179229778987</c:v>
                </c:pt>
                <c:pt idx="540">
                  <c:v>-45.538167275475566</c:v>
                </c:pt>
                <c:pt idx="541">
                  <c:v>-45.738155859173517</c:v>
                </c:pt>
              </c:numCache>
            </c:numRef>
          </c:yVal>
          <c:smooth val="1"/>
          <c:extLst>
            <c:ext xmlns:c16="http://schemas.microsoft.com/office/drawing/2014/chart" uri="{C3380CC4-5D6E-409C-BE32-E72D297353CC}">
              <c16:uniqueId val="{00000000-14B6-4D85-8680-2B593F1D4BA1}"/>
            </c:ext>
          </c:extLst>
        </c:ser>
        <c:dLbls>
          <c:showLegendKey val="0"/>
          <c:showVal val="0"/>
          <c:showCatName val="0"/>
          <c:showSerName val="0"/>
          <c:showPercent val="0"/>
          <c:showBubbleSize val="0"/>
        </c:dLbls>
        <c:axId val="175558656"/>
        <c:axId val="175560576"/>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Loop_Modeling!$BE$19:$BE$560</c:f>
              <c:numCache>
                <c:formatCode>General</c:formatCode>
                <c:ptCount val="542"/>
                <c:pt idx="0">
                  <c:v>90.536459396598062</c:v>
                </c:pt>
                <c:pt idx="1">
                  <c:v>90.548954252184075</c:v>
                </c:pt>
                <c:pt idx="2">
                  <c:v>90.56174008676966</c:v>
                </c:pt>
                <c:pt idx="3">
                  <c:v>90.574823673580212</c:v>
                </c:pt>
                <c:pt idx="4">
                  <c:v>90.588211943284819</c:v>
                </c:pt>
                <c:pt idx="5">
                  <c:v>90.60191198764015</c:v>
                </c:pt>
                <c:pt idx="6">
                  <c:v>90.615931063218056</c:v>
                </c:pt>
                <c:pt idx="7">
                  <c:v>90.63027659521768</c:v>
                </c:pt>
                <c:pt idx="8">
                  <c:v>90.644956181364861</c:v>
                </c:pt>
                <c:pt idx="9">
                  <c:v>90.659977595900088</c:v>
                </c:pt>
                <c:pt idx="10">
                  <c:v>90.675348793657307</c:v>
                </c:pt>
                <c:pt idx="11">
                  <c:v>90.691077914235251</c:v>
                </c:pt>
                <c:pt idx="12">
                  <c:v>90.707173286263526</c:v>
                </c:pt>
                <c:pt idx="13">
                  <c:v>90.723643431765367</c:v>
                </c:pt>
                <c:pt idx="14">
                  <c:v>90.740497070619043</c:v>
                </c:pt>
                <c:pt idx="15">
                  <c:v>90.757743125120186</c:v>
                </c:pt>
                <c:pt idx="16">
                  <c:v>90.775390724647082</c:v>
                </c:pt>
                <c:pt idx="17">
                  <c:v>90.793449210430964</c:v>
                </c:pt>
                <c:pt idx="18">
                  <c:v>90.811928140433835</c:v>
                </c:pt>
                <c:pt idx="19">
                  <c:v>90.830837294335524</c:v>
                </c:pt>
                <c:pt idx="20">
                  <c:v>90.850186678632966</c:v>
                </c:pt>
                <c:pt idx="21">
                  <c:v>90.869986531853101</c:v>
                </c:pt>
                <c:pt idx="22">
                  <c:v>90.890247329882627</c:v>
                </c:pt>
                <c:pt idx="23">
                  <c:v>90.910979791416295</c:v>
                </c:pt>
                <c:pt idx="24">
                  <c:v>90.93219488352635</c:v>
                </c:pt>
                <c:pt idx="25">
                  <c:v>90.953903827355731</c:v>
                </c:pt>
                <c:pt idx="26">
                  <c:v>90.976118103937068</c:v>
                </c:pt>
                <c:pt idx="27">
                  <c:v>90.998849460140335</c:v>
                </c:pt>
                <c:pt idx="28">
                  <c:v>91.02210991475134</c:v>
                </c:pt>
                <c:pt idx="29">
                  <c:v>91.045911764683822</c:v>
                </c:pt>
                <c:pt idx="30">
                  <c:v>91.070267591327394</c:v>
                </c:pt>
                <c:pt idx="31">
                  <c:v>91.095190267034269</c:v>
                </c:pt>
                <c:pt idx="32">
                  <c:v>91.120692961746855</c:v>
                </c:pt>
                <c:pt idx="33">
                  <c:v>91.146789149769276</c:v>
                </c:pt>
                <c:pt idx="34">
                  <c:v>91.173492616685039</c:v>
                </c:pt>
                <c:pt idx="35">
                  <c:v>91.200817466423644</c:v>
                </c:pt>
                <c:pt idx="36">
                  <c:v>91.228778128478694</c:v>
                </c:pt>
                <c:pt idx="37">
                  <c:v>91.257389365279963</c:v>
                </c:pt>
                <c:pt idx="38">
                  <c:v>91.28666627972234</c:v>
                </c:pt>
                <c:pt idx="39">
                  <c:v>91.316624322853727</c:v>
                </c:pt>
                <c:pt idx="40">
                  <c:v>91.347279301724996</c:v>
                </c:pt>
                <c:pt idx="41">
                  <c:v>91.378647387404115</c:v>
                </c:pt>
                <c:pt idx="42">
                  <c:v>91.410745123157284</c:v>
                </c:pt>
                <c:pt idx="43">
                  <c:v>91.4435894327992</c:v>
                </c:pt>
                <c:pt idx="44">
                  <c:v>91.477197629215297</c:v>
                </c:pt>
                <c:pt idx="45">
                  <c:v>91.511587423057975</c:v>
                </c:pt>
                <c:pt idx="46">
                  <c:v>91.546776931619476</c:v>
                </c:pt>
                <c:pt idx="47">
                  <c:v>91.58278468788329</c:v>
                </c:pt>
                <c:pt idx="48">
                  <c:v>91.619629649756718</c:v>
                </c:pt>
                <c:pt idx="49">
                  <c:v>91.657331209486316</c:v>
                </c:pt>
                <c:pt idx="50">
                  <c:v>91.69590920325831</c:v>
                </c:pt>
                <c:pt idx="51">
                  <c:v>91.735383920986052</c:v>
                </c:pt>
                <c:pt idx="52">
                  <c:v>91.775776116285954</c:v>
                </c:pt>
                <c:pt idx="53">
                  <c:v>91.81710701664386</c:v>
                </c:pt>
                <c:pt idx="54">
                  <c:v>91.859398333772901</c:v>
                </c:pt>
                <c:pt idx="55">
                  <c:v>91.902672274164445</c:v>
                </c:pt>
                <c:pt idx="56">
                  <c:v>91.946951549833159</c:v>
                </c:pt>
                <c:pt idx="57">
                  <c:v>91.992259389256915</c:v>
                </c:pt>
                <c:pt idx="58">
                  <c:v>92.038619548512287</c:v>
                </c:pt>
                <c:pt idx="59">
                  <c:v>92.086056322605927</c:v>
                </c:pt>
                <c:pt idx="60">
                  <c:v>92.134594557002018</c:v>
                </c:pt>
                <c:pt idx="61">
                  <c:v>92.184259659345585</c:v>
                </c:pt>
                <c:pt idx="62">
                  <c:v>92.235077611380959</c:v>
                </c:pt>
                <c:pt idx="63">
                  <c:v>92.287074981064563</c:v>
                </c:pt>
                <c:pt idx="64">
                  <c:v>92.340278934870739</c:v>
                </c:pt>
                <c:pt idx="65">
                  <c:v>92.394717250288792</c:v>
                </c:pt>
                <c:pt idx="66">
                  <c:v>92.450418328508974</c:v>
                </c:pt>
                <c:pt idx="67">
                  <c:v>92.507411207294695</c:v>
                </c:pt>
                <c:pt idx="68">
                  <c:v>92.565725574037657</c:v>
                </c:pt>
                <c:pt idx="69">
                  <c:v>92.625391778992025</c:v>
                </c:pt>
                <c:pt idx="70">
                  <c:v>92.686440848682764</c:v>
                </c:pt>
                <c:pt idx="71">
                  <c:v>92.748904499483515</c:v>
                </c:pt>
                <c:pt idx="72">
                  <c:v>92.812815151356986</c:v>
                </c:pt>
                <c:pt idx="73">
                  <c:v>92.878205941752086</c:v>
                </c:pt>
                <c:pt idx="74">
                  <c:v>92.945110739648996</c:v>
                </c:pt>
                <c:pt idx="75">
                  <c:v>93.013564159744391</c:v>
                </c:pt>
                <c:pt idx="76">
                  <c:v>93.083601576766156</c:v>
                </c:pt>
                <c:pt idx="77">
                  <c:v>93.155259139907571</c:v>
                </c:pt>
                <c:pt idx="78">
                  <c:v>93.228573787368305</c:v>
                </c:pt>
                <c:pt idx="79">
                  <c:v>93.303583260989043</c:v>
                </c:pt>
                <c:pt idx="80">
                  <c:v>93.380326120965393</c:v>
                </c:pt>
                <c:pt idx="81">
                  <c:v>93.458841760624168</c:v>
                </c:pt>
                <c:pt idx="82">
                  <c:v>93.53917042124489</c:v>
                </c:pt>
                <c:pt idx="83">
                  <c:v>93.621353206906875</c:v>
                </c:pt>
                <c:pt idx="84">
                  <c:v>93.705432099340456</c:v>
                </c:pt>
                <c:pt idx="85">
                  <c:v>93.791449972759196</c:v>
                </c:pt>
                <c:pt idx="86">
                  <c:v>93.879450608648028</c:v>
                </c:pt>
                <c:pt idx="87">
                  <c:v>93.969478710479251</c:v>
                </c:pt>
                <c:pt idx="88">
                  <c:v>94.061579918327169</c:v>
                </c:pt>
                <c:pt idx="89">
                  <c:v>94.155800823348372</c:v>
                </c:pt>
                <c:pt idx="90">
                  <c:v>94.25218898209279</c:v>
                </c:pt>
                <c:pt idx="91">
                  <c:v>94.350792930607525</c:v>
                </c:pt>
                <c:pt idx="92">
                  <c:v>94.451662198292453</c:v>
                </c:pt>
                <c:pt idx="93">
                  <c:v>94.554847321462816</c:v>
                </c:pt>
                <c:pt idx="94">
                  <c:v>94.660399856571885</c:v>
                </c:pt>
                <c:pt idx="95">
                  <c:v>94.768372393041105</c:v>
                </c:pt>
                <c:pt idx="96">
                  <c:v>94.878818565643428</c:v>
                </c:pt>
                <c:pt idx="97">
                  <c:v>94.991793066379373</c:v>
                </c:pt>
                <c:pt idx="98">
                  <c:v>95.107351655782352</c:v>
                </c:pt>
                <c:pt idx="99">
                  <c:v>95.225551173584805</c:v>
                </c:pt>
                <c:pt idx="100">
                  <c:v>95.346449548670904</c:v>
                </c:pt>
                <c:pt idx="101">
                  <c:v>95.470105808237705</c:v>
                </c:pt>
                <c:pt idx="102">
                  <c:v>95.596580086080294</c:v>
                </c:pt>
                <c:pt idx="103">
                  <c:v>95.725933629910656</c:v>
                </c:pt>
                <c:pt idx="104">
                  <c:v>95.858228807614466</c:v>
                </c:pt>
                <c:pt idx="105">
                  <c:v>95.993529112342216</c:v>
                </c:pt>
                <c:pt idx="106">
                  <c:v>96.131899166326789</c:v>
                </c:pt>
                <c:pt idx="107">
                  <c:v>96.273404723309241</c:v>
                </c:pt>
                <c:pt idx="108">
                  <c:v>96.418112669449727</c:v>
                </c:pt>
                <c:pt idx="109">
                  <c:v>96.566091022591891</c:v>
                </c:pt>
                <c:pt idx="110">
                  <c:v>96.717408929739918</c:v>
                </c:pt>
                <c:pt idx="111">
                  <c:v>96.872136662600468</c:v>
                </c:pt>
                <c:pt idx="112">
                  <c:v>97.030345611031521</c:v>
                </c:pt>
                <c:pt idx="113">
                  <c:v>97.192108274232183</c:v>
                </c:pt>
                <c:pt idx="114">
                  <c:v>97.357498249496842</c:v>
                </c:pt>
                <c:pt idx="115">
                  <c:v>97.526590218347323</c:v>
                </c:pt>
                <c:pt idx="116">
                  <c:v>97.699459929847905</c:v>
                </c:pt>
                <c:pt idx="117">
                  <c:v>97.876184180894811</c:v>
                </c:pt>
                <c:pt idx="118">
                  <c:v>98.056840793263987</c:v>
                </c:pt>
                <c:pt idx="119">
                  <c:v>98.241508587188363</c:v>
                </c:pt>
                <c:pt idx="120">
                  <c:v>98.430267351223691</c:v>
                </c:pt>
                <c:pt idx="121">
                  <c:v>98.623197808153606</c:v>
                </c:pt>
                <c:pt idx="122">
                  <c:v>98.820381576669419</c:v>
                </c:pt>
                <c:pt idx="123">
                  <c:v>99.021901128552102</c:v>
                </c:pt>
                <c:pt idx="124">
                  <c:v>99.22783974106909</c:v>
                </c:pt>
                <c:pt idx="125">
                  <c:v>99.438281444290354</c:v>
                </c:pt>
                <c:pt idx="126">
                  <c:v>99.65331096301486</c:v>
                </c:pt>
                <c:pt idx="127">
                  <c:v>99.873013652987368</c:v>
                </c:pt>
                <c:pt idx="128">
                  <c:v>100.0974754310771</c:v>
                </c:pt>
                <c:pt idx="129">
                  <c:v>100.32678269907937</c:v>
                </c:pt>
                <c:pt idx="130">
                  <c:v>100.5610222607888</c:v>
                </c:pt>
                <c:pt idx="131">
                  <c:v>100.80028123199084</c:v>
                </c:pt>
                <c:pt idx="132">
                  <c:v>101.04464694300424</c:v>
                </c:pt>
                <c:pt idx="133">
                  <c:v>101.29420683340742</c:v>
                </c:pt>
                <c:pt idx="134">
                  <c:v>101.54904833857208</c:v>
                </c:pt>
                <c:pt idx="135">
                  <c:v>101.80925876762846</c:v>
                </c:pt>
                <c:pt idx="136">
                  <c:v>102.07492517248527</c:v>
                </c:pt>
                <c:pt idx="137">
                  <c:v>102.34613420752676</c:v>
                </c:pt>
                <c:pt idx="138">
                  <c:v>102.62297197961759</c:v>
                </c:pt>
                <c:pt idx="139">
                  <c:v>102.90552388805141</c:v>
                </c:pt>
                <c:pt idx="140">
                  <c:v>103.193874454088</c:v>
                </c:pt>
                <c:pt idx="141">
                  <c:v>103.48810713974461</c:v>
                </c:pt>
                <c:pt idx="142">
                  <c:v>103.78830415551596</c:v>
                </c:pt>
                <c:pt idx="143">
                  <c:v>104.09454625673008</c:v>
                </c:pt>
                <c:pt idx="144">
                  <c:v>104.4069125282694</c:v>
                </c:pt>
                <c:pt idx="145">
                  <c:v>104.7254801574208</c:v>
                </c:pt>
                <c:pt idx="146">
                  <c:v>105.05032419465812</c:v>
                </c:pt>
                <c:pt idx="147">
                  <c:v>105.38151730220783</c:v>
                </c:pt>
                <c:pt idx="148">
                  <c:v>105.71912949029475</c:v>
                </c:pt>
                <c:pt idx="149">
                  <c:v>106.06322784103175</c:v>
                </c:pt>
                <c:pt idx="150">
                  <c:v>106.41387621997592</c:v>
                </c:pt>
                <c:pt idx="151">
                  <c:v>106.77113497545582</c:v>
                </c:pt>
                <c:pt idx="152">
                  <c:v>107.13506062584847</c:v>
                </c:pt>
                <c:pt idx="153">
                  <c:v>107.5057055350846</c:v>
                </c:pt>
                <c:pt idx="154">
                  <c:v>107.88311757675139</c:v>
                </c:pt>
                <c:pt idx="155">
                  <c:v>108.26733978727634</c:v>
                </c:pt>
                <c:pt idx="156">
                  <c:v>108.65841000878811</c:v>
                </c:pt>
                <c:pt idx="157">
                  <c:v>109.05636052238104</c:v>
                </c:pt>
                <c:pt idx="158">
                  <c:v>109.46121767263278</c:v>
                </c:pt>
                <c:pt idx="159">
                  <c:v>109.87300148437825</c:v>
                </c:pt>
                <c:pt idx="160">
                  <c:v>110.29172527288381</c:v>
                </c:pt>
                <c:pt idx="161">
                  <c:v>110.71739524871784</c:v>
                </c:pt>
                <c:pt idx="162">
                  <c:v>111.15001011878331</c:v>
                </c:pt>
                <c:pt idx="163">
                  <c:v>111.58956068513297</c:v>
                </c:pt>
                <c:pt idx="164">
                  <c:v>112.03602944335978</c:v>
                </c:pt>
                <c:pt idx="165">
                  <c:v>112.48939018252199</c:v>
                </c:pt>
                <c:pt idx="166">
                  <c:v>112.94960758872861</c:v>
                </c:pt>
                <c:pt idx="167">
                  <c:v>113.41663685467829</c:v>
                </c:pt>
                <c:pt idx="168">
                  <c:v>113.89042329759924</c:v>
                </c:pt>
                <c:pt idx="169">
                  <c:v>114.37090198819186</c:v>
                </c:pt>
                <c:pt idx="170">
                  <c:v>114.85799739331492</c:v>
                </c:pt>
                <c:pt idx="171">
                  <c:v>115.35162303527923</c:v>
                </c:pt>
                <c:pt idx="172">
                  <c:v>115.85168117072777</c:v>
                </c:pt>
                <c:pt idx="173">
                  <c:v>116.35806249216148</c:v>
                </c:pt>
                <c:pt idx="174">
                  <c:v>116.87064585524091</c:v>
                </c:pt>
                <c:pt idx="175">
                  <c:v>117.38929803502978</c:v>
                </c:pt>
                <c:pt idx="176">
                  <c:v>117.91387351435164</c:v>
                </c:pt>
                <c:pt idx="177">
                  <c:v>118.44421430740621</c:v>
                </c:pt>
                <c:pt idx="178">
                  <c:v>118.98014982173241</c:v>
                </c:pt>
                <c:pt idx="179">
                  <c:v>119.52149676149722</c:v>
                </c:pt>
                <c:pt idx="180">
                  <c:v>120.06805907495763</c:v>
                </c:pt>
                <c:pt idx="181">
                  <c:v>120.61962794874725</c:v>
                </c:pt>
                <c:pt idx="182">
                  <c:v>121.17598185142454</c:v>
                </c:pt>
                <c:pt idx="183">
                  <c:v>121.73688662843907</c:v>
                </c:pt>
                <c:pt idx="184">
                  <c:v>122.30209565036317</c:v>
                </c:pt>
                <c:pt idx="185">
                  <c:v>122.87135001588362</c:v>
                </c:pt>
                <c:pt idx="186">
                  <c:v>123.44437881065012</c:v>
                </c:pt>
                <c:pt idx="187">
                  <c:v>124.02089942264733</c:v>
                </c:pt>
                <c:pt idx="188">
                  <c:v>124.6006179142996</c:v>
                </c:pt>
                <c:pt idx="189">
                  <c:v>125.18322945102311</c:v>
                </c:pt>
                <c:pt idx="190">
                  <c:v>125.76841878543347</c:v>
                </c:pt>
                <c:pt idx="191">
                  <c:v>126.35586079589014</c:v>
                </c:pt>
                <c:pt idx="192">
                  <c:v>126.94522107752665</c:v>
                </c:pt>
                <c:pt idx="193">
                  <c:v>127.53615658338408</c:v>
                </c:pt>
                <c:pt idx="194">
                  <c:v>128.12831631274244</c:v>
                </c:pt>
                <c:pt idx="195">
                  <c:v>128.72134204323484</c:v>
                </c:pt>
                <c:pt idx="196">
                  <c:v>129.31486910285236</c:v>
                </c:pt>
                <c:pt idx="197">
                  <c:v>129.90852717749519</c:v>
                </c:pt>
                <c:pt idx="198">
                  <c:v>130.50194114932387</c:v>
                </c:pt>
                <c:pt idx="199">
                  <c:v>131.09473196080273</c:v>
                </c:pt>
                <c:pt idx="200">
                  <c:v>131.68651749902841</c:v>
                </c:pt>
                <c:pt idx="201">
                  <c:v>132.27691349469339</c:v>
                </c:pt>
                <c:pt idx="202">
                  <c:v>132.86553442986124</c:v>
                </c:pt>
                <c:pt idx="203">
                  <c:v>133.45199444862041</c:v>
                </c:pt>
                <c:pt idx="204">
                  <c:v>134.03590826465347</c:v>
                </c:pt>
                <c:pt idx="205">
                  <c:v>134.61689205978487</c:v>
                </c:pt>
                <c:pt idx="206">
                  <c:v>135.19456436769346</c:v>
                </c:pt>
                <c:pt idx="207">
                  <c:v>135.76854693713409</c:v>
                </c:pt>
                <c:pt idx="208">
                  <c:v>136.33846556927068</c:v>
                </c:pt>
                <c:pt idx="209">
                  <c:v>136.9039509240161</c:v>
                </c:pt>
                <c:pt idx="210">
                  <c:v>137.46463929063773</c:v>
                </c:pt>
                <c:pt idx="211">
                  <c:v>138.02017331829487</c:v>
                </c:pt>
                <c:pt idx="212">
                  <c:v>138.57020270262063</c:v>
                </c:pt>
                <c:pt idx="213">
                  <c:v>139.11438482495109</c:v>
                </c:pt>
                <c:pt idx="214">
                  <c:v>139.65238534130603</c:v>
                </c:pt>
                <c:pt idx="215">
                  <c:v>140.18387871875422</c:v>
                </c:pt>
                <c:pt idx="216">
                  <c:v>140.70854871733431</c:v>
                </c:pt>
                <c:pt idx="217">
                  <c:v>141.22608881623222</c:v>
                </c:pt>
                <c:pt idx="218">
                  <c:v>141.73620258344937</c:v>
                </c:pt>
                <c:pt idx="219">
                  <c:v>142.23860398870525</c:v>
                </c:pt>
                <c:pt idx="220">
                  <c:v>142.73301765981481</c:v>
                </c:pt>
                <c:pt idx="221">
                  <c:v>143.21917908324536</c:v>
                </c:pt>
                <c:pt idx="222">
                  <c:v>143.69683474998973</c:v>
                </c:pt>
                <c:pt idx="223">
                  <c:v>144.16574224829918</c:v>
                </c:pt>
                <c:pt idx="224">
                  <c:v>144.6256703051653</c:v>
                </c:pt>
                <c:pt idx="225">
                  <c:v>145.07639877877591</c:v>
                </c:pt>
                <c:pt idx="226">
                  <c:v>145.51771860442986</c:v>
                </c:pt>
                <c:pt idx="227">
                  <c:v>145.9494316966381</c:v>
                </c:pt>
                <c:pt idx="228">
                  <c:v>146.37135081032338</c:v>
                </c:pt>
                <c:pt idx="229">
                  <c:v>146.78329936418584</c:v>
                </c:pt>
                <c:pt idx="230">
                  <c:v>147.18511122939424</c:v>
                </c:pt>
                <c:pt idx="231">
                  <c:v>147.57663048685069</c:v>
                </c:pt>
                <c:pt idx="232">
                  <c:v>147.95771115629327</c:v>
                </c:pt>
                <c:pt idx="233">
                  <c:v>148.3282169005108</c:v>
                </c:pt>
                <c:pt idx="234">
                  <c:v>148.68802070790869</c:v>
                </c:pt>
                <c:pt idx="235">
                  <c:v>149.03700455661104</c:v>
                </c:pt>
                <c:pt idx="236">
                  <c:v>149.37505906320209</c:v>
                </c:pt>
                <c:pt idx="237">
                  <c:v>149.70208311910739</c:v>
                </c:pt>
                <c:pt idx="238">
                  <c:v>150.01798351750458</c:v>
                </c:pt>
                <c:pt idx="239">
                  <c:v>150.32267457351469</c:v>
                </c:pt>
                <c:pt idx="240">
                  <c:v>150.61607774028693</c:v>
                </c:pt>
                <c:pt idx="241">
                  <c:v>150.89812122344216</c:v>
                </c:pt>
                <c:pt idx="242">
                  <c:v>151.16873959618155</c:v>
                </c:pt>
                <c:pt idx="243">
                  <c:v>151.42787341721288</c:v>
                </c:pt>
                <c:pt idx="244">
                  <c:v>151.67546885348818</c:v>
                </c:pt>
                <c:pt idx="245">
                  <c:v>151.91147730958741</c:v>
                </c:pt>
                <c:pt idx="246">
                  <c:v>152.13585506543498</c:v>
                </c:pt>
                <c:pt idx="247">
                  <c:v>152.34856292387985</c:v>
                </c:pt>
                <c:pt idx="248">
                  <c:v>152.54956586953173</c:v>
                </c:pt>
                <c:pt idx="249">
                  <c:v>152.7388327401072</c:v>
                </c:pt>
                <c:pt idx="250">
                  <c:v>152.91633591140717</c:v>
                </c:pt>
                <c:pt idx="251">
                  <c:v>153.08205099693174</c:v>
                </c:pt>
                <c:pt idx="252">
                  <c:v>153.23595656301521</c:v>
                </c:pt>
                <c:pt idx="253">
                  <c:v>153.37803386027019</c:v>
                </c:pt>
                <c:pt idx="254">
                  <c:v>153.50826657202074</c:v>
                </c:pt>
                <c:pt idx="255">
                  <c:v>153.62664058032533</c:v>
                </c:pt>
                <c:pt idx="256">
                  <c:v>153.733143750105</c:v>
                </c:pt>
                <c:pt idx="257">
                  <c:v>153.82776573181943</c:v>
                </c:pt>
                <c:pt idx="258">
                  <c:v>153.91049778306976</c:v>
                </c:pt>
                <c:pt idx="259">
                  <c:v>153.98133260944707</c:v>
                </c:pt>
                <c:pt idx="260">
                  <c:v>154.04026422489497</c:v>
                </c:pt>
                <c:pt idx="261">
                  <c:v>154.0872878318049</c:v>
                </c:pt>
                <c:pt idx="262">
                  <c:v>154.12239972102427</c:v>
                </c:pt>
                <c:pt idx="263">
                  <c:v>154.14559719192135</c:v>
                </c:pt>
                <c:pt idx="264">
                  <c:v>154.15687849261309</c:v>
                </c:pt>
                <c:pt idx="265">
                  <c:v>154.15624278043646</c:v>
                </c:pt>
                <c:pt idx="266">
                  <c:v>154.14369010271437</c:v>
                </c:pt>
                <c:pt idx="267">
                  <c:v>154.11922139783974</c:v>
                </c:pt>
                <c:pt idx="268">
                  <c:v>154.0828385166763</c:v>
                </c:pt>
                <c:pt idx="269">
                  <c:v>154.03454426425043</c:v>
                </c:pt>
                <c:pt idx="270">
                  <c:v>153.97434246167751</c:v>
                </c:pt>
                <c:pt idx="271">
                  <c:v>153.90223802824417</c:v>
                </c:pt>
                <c:pt idx="272">
                  <c:v>153.81823708353087</c:v>
                </c:pt>
                <c:pt idx="273">
                  <c:v>153.72234706943121</c:v>
                </c:pt>
                <c:pt idx="274">
                  <c:v>153.61457689188347</c:v>
                </c:pt>
                <c:pt idx="275">
                  <c:v>153.49493708208814</c:v>
                </c:pt>
                <c:pt idx="276">
                  <c:v>153.36343997694078</c:v>
                </c:pt>
                <c:pt idx="277">
                  <c:v>153.2200999183537</c:v>
                </c:pt>
                <c:pt idx="278">
                  <c:v>153.06493347108227</c:v>
                </c:pt>
                <c:pt idx="279">
                  <c:v>152.89795965860449</c:v>
                </c:pt>
                <c:pt idx="280">
                  <c:v>152.71920021652952</c:v>
                </c:pt>
                <c:pt idx="281">
                  <c:v>152.52867986292935</c:v>
                </c:pt>
                <c:pt idx="282">
                  <c:v>152.32642658489718</c:v>
                </c:pt>
                <c:pt idx="283">
                  <c:v>152.11247194053948</c:v>
                </c:pt>
                <c:pt idx="284">
                  <c:v>151.88685137550218</c:v>
                </c:pt>
                <c:pt idx="285">
                  <c:v>151.649604553015</c:v>
                </c:pt>
                <c:pt idx="286">
                  <c:v>151.40077569631859</c:v>
                </c:pt>
                <c:pt idx="287">
                  <c:v>151.14041394220513</c:v>
                </c:pt>
                <c:pt idx="288">
                  <c:v>150.86857370426677</c:v>
                </c:pt>
                <c:pt idx="289">
                  <c:v>150.58531504430391</c:v>
                </c:pt>
                <c:pt idx="290">
                  <c:v>150.29070405019016</c:v>
                </c:pt>
                <c:pt idx="291">
                  <c:v>149.98481321834655</c:v>
                </c:pt>
                <c:pt idx="292">
                  <c:v>149.66772183880681</c:v>
                </c:pt>
                <c:pt idx="293">
                  <c:v>149.33951638071321</c:v>
                </c:pt>
                <c:pt idx="294">
                  <c:v>149.00029087591275</c:v>
                </c:pt>
                <c:pt idx="295">
                  <c:v>148.65014729817582</c:v>
                </c:pt>
                <c:pt idx="296">
                  <c:v>148.2891959354109</c:v>
                </c:pt>
                <c:pt idx="297">
                  <c:v>147.91755575210124</c:v>
                </c:pt>
                <c:pt idx="298">
                  <c:v>147.53535473907132</c:v>
                </c:pt>
                <c:pt idx="299">
                  <c:v>147.14273024756446</c:v>
                </c:pt>
                <c:pt idx="300">
                  <c:v>146.73982930451959</c:v>
                </c:pt>
                <c:pt idx="301">
                  <c:v>146.32680890585698</c:v>
                </c:pt>
                <c:pt idx="302">
                  <c:v>145.90383628452673</c:v>
                </c:pt>
                <c:pt idx="303">
                  <c:v>145.47108915004691</c:v>
                </c:pt>
                <c:pt idx="304">
                  <c:v>145.02875589626615</c:v>
                </c:pt>
                <c:pt idx="305">
                  <c:v>144.57703577411152</c:v>
                </c:pt>
                <c:pt idx="306">
                  <c:v>144.11613902616881</c:v>
                </c:pt>
                <c:pt idx="307">
                  <c:v>143.64628698004236</c:v>
                </c:pt>
                <c:pt idx="308">
                  <c:v>143.16771209760066</c:v>
                </c:pt>
                <c:pt idx="309">
                  <c:v>142.68065797740559</c:v>
                </c:pt>
                <c:pt idx="310">
                  <c:v>142.18537930786164</c:v>
                </c:pt>
                <c:pt idx="311">
                  <c:v>141.68214176889853</c:v>
                </c:pt>
                <c:pt idx="312">
                  <c:v>141.17122188033085</c:v>
                </c:pt>
                <c:pt idx="313">
                  <c:v>140.65290679539126</c:v>
                </c:pt>
                <c:pt idx="314">
                  <c:v>140.12749403834994</c:v>
                </c:pt>
                <c:pt idx="315">
                  <c:v>139.59529118555747</c:v>
                </c:pt>
                <c:pt idx="316">
                  <c:v>139.05661548972745</c:v>
                </c:pt>
                <c:pt idx="317">
                  <c:v>138.51179344776531</c:v>
                </c:pt>
                <c:pt idx="318">
                  <c:v>137.96116031296853</c:v>
                </c:pt>
                <c:pt idx="319">
                  <c:v>137.40505955295072</c:v>
                </c:pt>
                <c:pt idx="320">
                  <c:v>136.84384225517712</c:v>
                </c:pt>
                <c:pt idx="321">
                  <c:v>136.27786648253829</c:v>
                </c:pt>
                <c:pt idx="322">
                  <c:v>135.7074965819061</c:v>
                </c:pt>
                <c:pt idx="323">
                  <c:v>135.13310244912927</c:v>
                </c:pt>
                <c:pt idx="324">
                  <c:v>134.55505875440045</c:v>
                </c:pt>
                <c:pt idx="325">
                  <c:v>133.97374413237679</c:v>
                </c:pt>
                <c:pt idx="326">
                  <c:v>133.38954034183794</c:v>
                </c:pt>
                <c:pt idx="327">
                  <c:v>132.80283140001293</c:v>
                </c:pt>
                <c:pt idx="328">
                  <c:v>132.21400269701576</c:v>
                </c:pt>
                <c:pt idx="329">
                  <c:v>131.6234400960513</c:v>
                </c:pt>
                <c:pt idx="330">
                  <c:v>131.03152902523635</c:v>
                </c:pt>
                <c:pt idx="331">
                  <c:v>130.43865356696637</c:v>
                </c:pt>
                <c:pt idx="332">
                  <c:v>129.84519555080109</c:v>
                </c:pt>
                <c:pt idx="333">
                  <c:v>129.25153365578555</c:v>
                </c:pt>
                <c:pt idx="334">
                  <c:v>128.65804252802101</c:v>
                </c:pt>
                <c:pt idx="335">
                  <c:v>128.06509191910911</c:v>
                </c:pt>
                <c:pt idx="336">
                  <c:v>127.47304585085122</c:v>
                </c:pt>
                <c:pt idx="337">
                  <c:v>126.88226181126744</c:v>
                </c:pt>
                <c:pt idx="338">
                  <c:v>126.29308998664919</c:v>
                </c:pt>
                <c:pt idx="339">
                  <c:v>125.70587253393992</c:v>
                </c:pt>
                <c:pt idx="340">
                  <c:v>125.12094289728411</c:v>
                </c:pt>
                <c:pt idx="341">
                  <c:v>124.53862517211037</c:v>
                </c:pt>
                <c:pt idx="342">
                  <c:v>123.95923351959559</c:v>
                </c:pt>
                <c:pt idx="343">
                  <c:v>123.38307163384073</c:v>
                </c:pt>
                <c:pt idx="344">
                  <c:v>122.8104322635461</c:v>
                </c:pt>
                <c:pt idx="345">
                  <c:v>122.24159678945342</c:v>
                </c:pt>
                <c:pt idx="346">
                  <c:v>121.67683485828822</c:v>
                </c:pt>
                <c:pt idx="347">
                  <c:v>121.11640407343795</c:v>
                </c:pt>
                <c:pt idx="348">
                  <c:v>120.5605497421011</c:v>
                </c:pt>
                <c:pt idx="349">
                  <c:v>120.00950467819867</c:v>
                </c:pt>
                <c:pt idx="350">
                  <c:v>119.46348905990193</c:v>
                </c:pt>
                <c:pt idx="351">
                  <c:v>118.92271034024522</c:v>
                </c:pt>
                <c:pt idx="352">
                  <c:v>118.38736320894388</c:v>
                </c:pt>
                <c:pt idx="353">
                  <c:v>117.85762960322128</c:v>
                </c:pt>
                <c:pt idx="354">
                  <c:v>117.3336787651902</c:v>
                </c:pt>
                <c:pt idx="355">
                  <c:v>116.81566734311208</c:v>
                </c:pt>
                <c:pt idx="356">
                  <c:v>116.30373953366903</c:v>
                </c:pt>
                <c:pt idx="357">
                  <c:v>115.79802726225741</c:v>
                </c:pt>
                <c:pt idx="358">
                  <c:v>115.29865039820808</c:v>
                </c:pt>
                <c:pt idx="359">
                  <c:v>114.80571700178187</c:v>
                </c:pt>
                <c:pt idx="360">
                  <c:v>114.31932359976923</c:v>
                </c:pt>
                <c:pt idx="361">
                  <c:v>113.8395554865271</c:v>
                </c:pt>
                <c:pt idx="362">
                  <c:v>113.36648704733429</c:v>
                </c:pt>
                <c:pt idx="363">
                  <c:v>112.90018210100945</c:v>
                </c:pt>
                <c:pt idx="364">
                  <c:v>112.44069425882473</c:v>
                </c:pt>
                <c:pt idx="365">
                  <c:v>111.98806729686672</c:v>
                </c:pt>
                <c:pt idx="366">
                  <c:v>111.54233553911267</c:v>
                </c:pt>
                <c:pt idx="367">
                  <c:v>111.10352424864243</c:v>
                </c:pt>
                <c:pt idx="368">
                  <c:v>110.6716500245481</c:v>
                </c:pt>
                <c:pt idx="369">
                  <c:v>110.24672120227241</c:v>
                </c:pt>
                <c:pt idx="370">
                  <c:v>109.82873825526255</c:v>
                </c:pt>
                <c:pt idx="371">
                  <c:v>109.41769419600165</c:v>
                </c:pt>
                <c:pt idx="372">
                  <c:v>109.01357497464048</c:v>
                </c:pt>
                <c:pt idx="373">
                  <c:v>108.61635987362803</c:v>
                </c:pt>
                <c:pt idx="374">
                  <c:v>108.22602189689208</c:v>
                </c:pt>
                <c:pt idx="375">
                  <c:v>107.84252815229233</c:v>
                </c:pt>
                <c:pt idx="376">
                  <c:v>107.46584022621229</c:v>
                </c:pt>
                <c:pt idx="377">
                  <c:v>107.0959145493112</c:v>
                </c:pt>
                <c:pt idx="378">
                  <c:v>106.7327027525937</c:v>
                </c:pt>
                <c:pt idx="379">
                  <c:v>106.37615201308648</c:v>
                </c:pt>
                <c:pt idx="380">
                  <c:v>106.02620538854077</c:v>
                </c:pt>
                <c:pt idx="381">
                  <c:v>105.68280214068719</c:v>
                </c:pt>
                <c:pt idx="382">
                  <c:v>105.34587804668389</c:v>
                </c:pt>
                <c:pt idx="383">
                  <c:v>105.0153656984928</c:v>
                </c:pt>
                <c:pt idx="384">
                  <c:v>104.69119479000994</c:v>
                </c:pt>
                <c:pt idx="385">
                  <c:v>104.37329239185802</c:v>
                </c:pt>
                <c:pt idx="386">
                  <c:v>104.06158321382344</c:v>
                </c:pt>
                <c:pt idx="387">
                  <c:v>103.75598985498169</c:v>
                </c:pt>
                <c:pt idx="388">
                  <c:v>103.45643304161842</c:v>
                </c:pt>
                <c:pt idx="389">
                  <c:v>103.1628318531037</c:v>
                </c:pt>
                <c:pt idx="390">
                  <c:v>102.87510393591717</c:v>
                </c:pt>
                <c:pt idx="391">
                  <c:v>102.59316570606707</c:v>
                </c:pt>
                <c:pt idx="392">
                  <c:v>102.31693254017338</c:v>
                </c:pt>
                <c:pt idx="393">
                  <c:v>102.04631895551567</c:v>
                </c:pt>
                <c:pt idx="394">
                  <c:v>101.78123877936781</c:v>
                </c:pt>
                <c:pt idx="395">
                  <c:v>101.52160530795976</c:v>
                </c:pt>
                <c:pt idx="396">
                  <c:v>101.26733145542171</c:v>
                </c:pt>
                <c:pt idx="397">
                  <c:v>101.01832989307333</c:v>
                </c:pt>
                <c:pt idx="398">
                  <c:v>100.7745131794326</c:v>
                </c:pt>
                <c:pt idx="399">
                  <c:v>100.53579388131797</c:v>
                </c:pt>
                <c:pt idx="400">
                  <c:v>100.30208468642267</c:v>
                </c:pt>
                <c:pt idx="401">
                  <c:v>100.07329850773753</c:v>
                </c:pt>
                <c:pt idx="402">
                  <c:v>99.849348580194516</c:v>
                </c:pt>
                <c:pt idx="403">
                  <c:v>99.630148549904376</c:v>
                </c:pt>
                <c:pt idx="404">
                  <c:v>99.415612556347114</c:v>
                </c:pt>
                <c:pt idx="405">
                  <c:v>99.205655307874537</c:v>
                </c:pt>
                <c:pt idx="406">
                  <c:v>99.0001921508713</c:v>
                </c:pt>
                <c:pt idx="407">
                  <c:v>98.799139132912771</c:v>
                </c:pt>
                <c:pt idx="408">
                  <c:v>98.602413060249049</c:v>
                </c:pt>
                <c:pt idx="409">
                  <c:v>98.409931549932566</c:v>
                </c:pt>
                <c:pt idx="410">
                  <c:v>98.221613076896062</c:v>
                </c:pt>
                <c:pt idx="411">
                  <c:v>98.037377016277986</c:v>
                </c:pt>
                <c:pt idx="412">
                  <c:v>97.857143681278785</c:v>
                </c:pt>
                <c:pt idx="413">
                  <c:v>97.680834356821038</c:v>
                </c:pt>
                <c:pt idx="414">
                  <c:v>97.508371329275505</c:v>
                </c:pt>
                <c:pt idx="415">
                  <c:v>97.339677912503163</c:v>
                </c:pt>
                <c:pt idx="416">
                  <c:v>97.174678470450147</c:v>
                </c:pt>
                <c:pt idx="417">
                  <c:v>97.01329843652546</c:v>
                </c:pt>
                <c:pt idx="418">
                  <c:v>96.855464329976101</c:v>
                </c:pt>
                <c:pt idx="419">
                  <c:v>96.70110376946559</c:v>
                </c:pt>
                <c:pt idx="420">
                  <c:v>96.550145484051313</c:v>
                </c:pt>
                <c:pt idx="421">
                  <c:v>96.402519321745686</c:v>
                </c:pt>
                <c:pt idx="422">
                  <c:v>96.258156255836141</c:v>
                </c:pt>
                <c:pt idx="423">
                  <c:v>96.11698838912929</c:v>
                </c:pt>
                <c:pt idx="424">
                  <c:v>95.978948956276284</c:v>
                </c:pt>
                <c:pt idx="425">
                  <c:v>95.843972324326487</c:v>
                </c:pt>
                <c:pt idx="426">
                  <c:v>95.711993991648413</c:v>
                </c:pt>
                <c:pt idx="427">
                  <c:v>95.582950585349735</c:v>
                </c:pt>
                <c:pt idx="428">
                  <c:v>95.456779857318921</c:v>
                </c:pt>
                <c:pt idx="429">
                  <c:v>95.333420679003964</c:v>
                </c:pt>
                <c:pt idx="430">
                  <c:v>95.212813035037797</c:v>
                </c:pt>
                <c:pt idx="431">
                  <c:v>95.09489801581185</c:v>
                </c:pt>
                <c:pt idx="432">
                  <c:v>94.979617809093469</c:v>
                </c:pt>
                <c:pt idx="433">
                  <c:v>94.866915690776011</c:v>
                </c:pt>
                <c:pt idx="434">
                  <c:v>94.75673601484651</c:v>
                </c:pt>
                <c:pt idx="435">
                  <c:v>94.649024202648121</c:v>
                </c:pt>
                <c:pt idx="436">
                  <c:v>94.543726731510475</c:v>
                </c:pt>
                <c:pt idx="437">
                  <c:v>94.44079112281662</c:v>
                </c:pt>
                <c:pt idx="438">
                  <c:v>94.340165929569309</c:v>
                </c:pt>
                <c:pt idx="439">
                  <c:v>94.241800723516221</c:v>
                </c:pt>
                <c:pt idx="440">
                  <c:v>94.145646081888955</c:v>
                </c:pt>
                <c:pt idx="441">
                  <c:v>94.051653573806703</c:v>
                </c:pt>
                <c:pt idx="442">
                  <c:v>93.959775746392125</c:v>
                </c:pt>
                <c:pt idx="443">
                  <c:v>93.869966110643674</c:v>
                </c:pt>
                <c:pt idx="444">
                  <c:v>93.782179127104627</c:v>
                </c:pt>
                <c:pt idx="445">
                  <c:v>93.696370191366782</c:v>
                </c:pt>
                <c:pt idx="446">
                  <c:v>93.612495619443735</c:v>
                </c:pt>
                <c:pt idx="447">
                  <c:v>93.530512633045348</c:v>
                </c:pt>
                <c:pt idx="448">
                  <c:v>93.450379344784281</c:v>
                </c:pt>
                <c:pt idx="449">
                  <c:v>93.372054743339916</c:v>
                </c:pt>
                <c:pt idx="450">
                  <c:v>93.295498678607004</c:v>
                </c:pt>
                <c:pt idx="451">
                  <c:v>93.220671846850067</c:v>
                </c:pt>
                <c:pt idx="452">
                  <c:v>93.147535775886041</c:v>
                </c:pt>
                <c:pt idx="453">
                  <c:v>93.076052810313485</c:v>
                </c:pt>
                <c:pt idx="454">
                  <c:v>93.006186096806701</c:v>
                </c:pt>
                <c:pt idx="455">
                  <c:v>92.937899569490355</c:v>
                </c:pt>
                <c:pt idx="456">
                  <c:v>92.87115793540903</c:v>
                </c:pt>
                <c:pt idx="457">
                  <c:v>92.805926660105683</c:v>
                </c:pt>
                <c:pt idx="458">
                  <c:v>92.74217195331984</c:v>
                </c:pt>
                <c:pt idx="459">
                  <c:v>92.679860754816971</c:v>
                </c:pt>
                <c:pt idx="460">
                  <c:v>92.61896072035897</c:v>
                </c:pt>
                <c:pt idx="461">
                  <c:v>92.5594402078233</c:v>
                </c:pt>
                <c:pt idx="462">
                  <c:v>92.501268263479503</c:v>
                </c:pt>
                <c:pt idx="463">
                  <c:v>92.444414608429369</c:v>
                </c:pt>
                <c:pt idx="464">
                  <c:v>92.388849625216736</c:v>
                </c:pt>
                <c:pt idx="465">
                  <c:v>92.334544344612226</c:v>
                </c:pt>
                <c:pt idx="466">
                  <c:v>92.28147043257772</c:v>
                </c:pt>
                <c:pt idx="467">
                  <c:v>92.229600177413516</c:v>
                </c:pt>
                <c:pt idx="468">
                  <c:v>92.178906477092525</c:v>
                </c:pt>
                <c:pt idx="469">
                  <c:v>92.129362826783577</c:v>
                </c:pt>
                <c:pt idx="470">
                  <c:v>92.080943306566184</c:v>
                </c:pt>
                <c:pt idx="471">
                  <c:v>92.033622569338121</c:v>
                </c:pt>
                <c:pt idx="472">
                  <c:v>91.987375828918061</c:v>
                </c:pt>
                <c:pt idx="473">
                  <c:v>91.942178848342962</c:v>
                </c:pt>
                <c:pt idx="474">
                  <c:v>91.89800792836165</c:v>
                </c:pt>
                <c:pt idx="475">
                  <c:v>91.854839896124275</c:v>
                </c:pt>
                <c:pt idx="476">
                  <c:v>91.812652094067687</c:v>
                </c:pt>
                <c:pt idx="477">
                  <c:v>91.771422368996355</c:v>
                </c:pt>
                <c:pt idx="478">
                  <c:v>91.731129061358146</c:v>
                </c:pt>
                <c:pt idx="479">
                  <c:v>91.691750994713999</c:v>
                </c:pt>
                <c:pt idx="480">
                  <c:v>91.653267465400461</c:v>
                </c:pt>
                <c:pt idx="481">
                  <c:v>91.615658232383794</c:v>
                </c:pt>
                <c:pt idx="482">
                  <c:v>91.578903507304247</c:v>
                </c:pt>
                <c:pt idx="483">
                  <c:v>91.542983944708595</c:v>
                </c:pt>
                <c:pt idx="484">
                  <c:v>91.507880632469593</c:v>
                </c:pt>
                <c:pt idx="485">
                  <c:v>91.473575082390013</c:v>
                </c:pt>
                <c:pt idx="486">
                  <c:v>91.440049220989749</c:v>
                </c:pt>
                <c:pt idx="487">
                  <c:v>91.407285380473297</c:v>
                </c:pt>
                <c:pt idx="488">
                  <c:v>91.375266289876038</c:v>
                </c:pt>
                <c:pt idx="489">
                  <c:v>91.343975066386562</c:v>
                </c:pt>
                <c:pt idx="490">
                  <c:v>91.313395206842983</c:v>
                </c:pt>
                <c:pt idx="491">
                  <c:v>91.283510579400726</c:v>
                </c:pt>
                <c:pt idx="492">
                  <c:v>91.254305415369416</c:v>
                </c:pt>
                <c:pt idx="493">
                  <c:v>91.225764301216387</c:v>
                </c:pt>
                <c:pt idx="494">
                  <c:v>91.197872170734044</c:v>
                </c:pt>
                <c:pt idx="495">
                  <c:v>91.170614297369184</c:v>
                </c:pt>
                <c:pt idx="496">
                  <c:v>91.143976286710782</c:v>
                </c:pt>
                <c:pt idx="497">
                  <c:v>91.117944069134552</c:v>
                </c:pt>
                <c:pt idx="498">
                  <c:v>91.092503892601115</c:v>
                </c:pt>
                <c:pt idx="499">
                  <c:v>91.06764231560534</c:v>
                </c:pt>
                <c:pt idx="500">
                  <c:v>91.043346200274485</c:v>
                </c:pt>
                <c:pt idx="501">
                  <c:v>91.019602705612101</c:v>
                </c:pt>
                <c:pt idx="502">
                  <c:v>90.996399280885612</c:v>
                </c:pt>
                <c:pt idx="503">
                  <c:v>90.973723659154459</c:v>
                </c:pt>
                <c:pt idx="504">
                  <c:v>90.95156385093685</c:v>
                </c:pt>
                <c:pt idx="505">
                  <c:v>90.92990813801201</c:v>
                </c:pt>
                <c:pt idx="506">
                  <c:v>90.908745067355738</c:v>
                </c:pt>
                <c:pt idx="507">
                  <c:v>90.888063445206654</c:v>
                </c:pt>
                <c:pt idx="508">
                  <c:v>90.867852331260707</c:v>
                </c:pt>
                <c:pt idx="509">
                  <c:v>90.848101032991252</c:v>
                </c:pt>
                <c:pt idx="510">
                  <c:v>90.828799100092752</c:v>
                </c:pt>
                <c:pt idx="511">
                  <c:v>90.80993631904515</c:v>
                </c:pt>
                <c:pt idx="512">
                  <c:v>90.791502707796738</c:v>
                </c:pt>
                <c:pt idx="513">
                  <c:v>90.773488510563467</c:v>
                </c:pt>
                <c:pt idx="514">
                  <c:v>90.755884192741817</c:v>
                </c:pt>
                <c:pt idx="515">
                  <c:v>90.738680435933375</c:v>
                </c:pt>
                <c:pt idx="516">
                  <c:v>90.721868133078715</c:v>
                </c:pt>
                <c:pt idx="517">
                  <c:v>90.70543838369835</c:v>
                </c:pt>
                <c:pt idx="518">
                  <c:v>90.689382489238497</c:v>
                </c:pt>
                <c:pt idx="519">
                  <c:v>90.673691948519746</c:v>
                </c:pt>
                <c:pt idx="520">
                  <c:v>90.658358453286098</c:v>
                </c:pt>
                <c:pt idx="521">
                  <c:v>90.643373883852746</c:v>
                </c:pt>
                <c:pt idx="522">
                  <c:v>90.628730304850194</c:v>
                </c:pt>
                <c:pt idx="523">
                  <c:v>90.614419961062822</c:v>
                </c:pt>
                <c:pt idx="524">
                  <c:v>90.600435273359906</c:v>
                </c:pt>
                <c:pt idx="525">
                  <c:v>90.586768834717205</c:v>
                </c:pt>
                <c:pt idx="526">
                  <c:v>90.573413406326978</c:v>
                </c:pt>
                <c:pt idx="527">
                  <c:v>90.56036191379485</c:v>
                </c:pt>
                <c:pt idx="528">
                  <c:v>90.547607443421498</c:v>
                </c:pt>
                <c:pt idx="529">
                  <c:v>90.535143238567215</c:v>
                </c:pt>
                <c:pt idx="530">
                  <c:v>90.522962696097963</c:v>
                </c:pt>
                <c:pt idx="531">
                  <c:v>90.511059362910657</c:v>
                </c:pt>
                <c:pt idx="532">
                  <c:v>90.499426932536508</c:v>
                </c:pt>
                <c:pt idx="533">
                  <c:v>90.488059241820224</c:v>
                </c:pt>
                <c:pt idx="534">
                  <c:v>90.4769502676738</c:v>
                </c:pt>
                <c:pt idx="535">
                  <c:v>90.46609412390309</c:v>
                </c:pt>
                <c:pt idx="536">
                  <c:v>90.455485058105594</c:v>
                </c:pt>
                <c:pt idx="537">
                  <c:v>90.445117448638058</c:v>
                </c:pt>
                <c:pt idx="538">
                  <c:v>90.43498580165199</c:v>
                </c:pt>
                <c:pt idx="539">
                  <c:v>90.42508474819617</c:v>
                </c:pt>
                <c:pt idx="540">
                  <c:v>90.415409041384024</c:v>
                </c:pt>
                <c:pt idx="541">
                  <c:v>90.405953553625096</c:v>
                </c:pt>
              </c:numCache>
            </c:numRef>
          </c:yVal>
          <c:smooth val="1"/>
          <c:extLst>
            <c:ext xmlns:c16="http://schemas.microsoft.com/office/drawing/2014/chart" uri="{C3380CC4-5D6E-409C-BE32-E72D297353CC}">
              <c16:uniqueId val="{00000001-14B6-4D85-8680-2B593F1D4BA1}"/>
            </c:ext>
          </c:extLst>
        </c:ser>
        <c:dLbls>
          <c:showLegendKey val="0"/>
          <c:showVal val="0"/>
          <c:showCatName val="0"/>
          <c:showSerName val="0"/>
          <c:showPercent val="0"/>
          <c:showBubbleSize val="0"/>
        </c:dLbls>
        <c:axId val="175568384"/>
        <c:axId val="175566848"/>
      </c:scatterChart>
      <c:valAx>
        <c:axId val="17555865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5560576"/>
        <c:crosses val="autoZero"/>
        <c:crossBetween val="midCat"/>
      </c:valAx>
      <c:valAx>
        <c:axId val="175560576"/>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5558656"/>
        <c:crosses val="autoZero"/>
        <c:crossBetween val="midCat"/>
        <c:majorUnit val="20"/>
        <c:minorUnit val="10"/>
      </c:valAx>
      <c:valAx>
        <c:axId val="175566848"/>
        <c:scaling>
          <c:orientation val="minMax"/>
          <c:max val="180"/>
          <c:min val="-180"/>
        </c:scaling>
        <c:delete val="0"/>
        <c:axPos val="r"/>
        <c:numFmt formatCode="General" sourceLinked="1"/>
        <c:majorTickMark val="out"/>
        <c:minorTickMark val="none"/>
        <c:tickLblPos val="nextTo"/>
        <c:crossAx val="175568384"/>
        <c:crosses val="max"/>
        <c:crossBetween val="midCat"/>
        <c:majorUnit val="90"/>
        <c:minorUnit val="45"/>
      </c:valAx>
      <c:valAx>
        <c:axId val="175568384"/>
        <c:scaling>
          <c:logBase val="10"/>
          <c:orientation val="minMax"/>
        </c:scaling>
        <c:delete val="1"/>
        <c:axPos val="b"/>
        <c:numFmt formatCode="0.00" sourceLinked="1"/>
        <c:majorTickMark val="out"/>
        <c:minorTickMark val="none"/>
        <c:tickLblPos val="nextTo"/>
        <c:crossAx val="175566848"/>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Loop_Modeling!$BG$19:$BG$560</c:f>
              <c:numCache>
                <c:formatCode>0.000</c:formatCode>
                <c:ptCount val="542"/>
                <c:pt idx="0">
                  <c:v>64.230737843148233</c:v>
                </c:pt>
                <c:pt idx="1">
                  <c:v>64.030515252986632</c:v>
                </c:pt>
                <c:pt idx="2">
                  <c:v>63.830282186891054</c:v>
                </c:pt>
                <c:pt idx="3">
                  <c:v>63.630038152534986</c:v>
                </c:pt>
                <c:pt idx="4">
                  <c:v>63.429782634523207</c:v>
                </c:pt>
                <c:pt idx="5">
                  <c:v>63.229515093316877</c:v>
                </c:pt>
                <c:pt idx="6">
                  <c:v>63.029234964110678</c:v>
                </c:pt>
                <c:pt idx="7">
                  <c:v>62.82894165565655</c:v>
                </c:pt>
                <c:pt idx="8">
                  <c:v>62.628634549035112</c:v>
                </c:pt>
                <c:pt idx="9">
                  <c:v>62.428312996369769</c:v>
                </c:pt>
                <c:pt idx="10">
                  <c:v>62.22797631948233</c:v>
                </c:pt>
                <c:pt idx="11">
                  <c:v>62.027623808487618</c:v>
                </c:pt>
                <c:pt idx="12">
                  <c:v>61.827254720322912</c:v>
                </c:pt>
                <c:pt idx="13">
                  <c:v>61.626868277211678</c:v>
                </c:pt>
                <c:pt idx="14">
                  <c:v>61.426463665056673</c:v>
                </c:pt>
                <c:pt idx="15">
                  <c:v>61.22604003176032</c:v>
                </c:pt>
                <c:pt idx="16">
                  <c:v>61.025596485469215</c:v>
                </c:pt>
                <c:pt idx="17">
                  <c:v>60.825132092738556</c:v>
                </c:pt>
                <c:pt idx="18">
                  <c:v>60.624645876615197</c:v>
                </c:pt>
                <c:pt idx="19">
                  <c:v>60.424136814632341</c:v>
                </c:pt>
                <c:pt idx="20">
                  <c:v>60.223603836716173</c:v>
                </c:pt>
                <c:pt idx="21">
                  <c:v>60.023045822997581</c:v>
                </c:pt>
                <c:pt idx="22">
                  <c:v>59.822461601526065</c:v>
                </c:pt>
                <c:pt idx="23">
                  <c:v>59.621849945882168</c:v>
                </c:pt>
                <c:pt idx="24">
                  <c:v>59.421209572683381</c:v>
                </c:pt>
                <c:pt idx="25">
                  <c:v>59.220539138979674</c:v>
                </c:pt>
                <c:pt idx="26">
                  <c:v>59.019837239533857</c:v>
                </c:pt>
                <c:pt idx="27">
                  <c:v>58.819102403982065</c:v>
                </c:pt>
                <c:pt idx="28">
                  <c:v>58.618333093869559</c:v>
                </c:pt>
                <c:pt idx="29">
                  <c:v>58.417527699557027</c:v>
                </c:pt>
                <c:pt idx="30">
                  <c:v>58.216684536991892</c:v>
                </c:pt>
                <c:pt idx="31">
                  <c:v>58.015801844339208</c:v>
                </c:pt>
                <c:pt idx="32">
                  <c:v>57.814877778467363</c:v>
                </c:pt>
                <c:pt idx="33">
                  <c:v>57.613910411282028</c:v>
                </c:pt>
                <c:pt idx="34">
                  <c:v>57.412897725903576</c:v>
                </c:pt>
                <c:pt idx="35">
                  <c:v>57.211837612680782</c:v>
                </c:pt>
                <c:pt idx="36">
                  <c:v>57.010727865036131</c:v>
                </c:pt>
                <c:pt idx="37">
                  <c:v>56.809566175135572</c:v>
                </c:pt>
                <c:pt idx="38">
                  <c:v>56.608350129376277</c:v>
                </c:pt>
                <c:pt idx="39">
                  <c:v>56.407077203687088</c:v>
                </c:pt>
                <c:pt idx="40">
                  <c:v>56.205744758633628</c:v>
                </c:pt>
                <c:pt idx="41">
                  <c:v>56.0043500343224</c:v>
                </c:pt>
                <c:pt idx="42">
                  <c:v>55.80289014509659</c:v>
                </c:pt>
                <c:pt idx="43">
                  <c:v>55.601362074016983</c:v>
                </c:pt>
                <c:pt idx="44">
                  <c:v>55.399762667121159</c:v>
                </c:pt>
                <c:pt idx="45">
                  <c:v>55.198088627453984</c:v>
                </c:pt>
                <c:pt idx="46">
                  <c:v>54.996336508861752</c:v>
                </c:pt>
                <c:pt idx="47">
                  <c:v>54.794502709544872</c:v>
                </c:pt>
                <c:pt idx="48">
                  <c:v>54.592583465359887</c:v>
                </c:pt>
                <c:pt idx="49">
                  <c:v>54.390574842866116</c:v>
                </c:pt>
                <c:pt idx="50">
                  <c:v>54.188472732109261</c:v>
                </c:pt>
                <c:pt idx="51">
                  <c:v>53.986272839134799</c:v>
                </c:pt>
                <c:pt idx="52">
                  <c:v>53.783970678227</c:v>
                </c:pt>
                <c:pt idx="53">
                  <c:v>53.581561563865478</c:v>
                </c:pt>
                <c:pt idx="54">
                  <c:v>53.379040602394014</c:v>
                </c:pt>
                <c:pt idx="55">
                  <c:v>53.176402683398017</c:v>
                </c:pt>
                <c:pt idx="56">
                  <c:v>52.973642470782771</c:v>
                </c:pt>
                <c:pt idx="57">
                  <c:v>52.770754393551243</c:v>
                </c:pt>
                <c:pt idx="58">
                  <c:v>52.567732636275515</c:v>
                </c:pt>
                <c:pt idx="59">
                  <c:v>52.36457112926027</c:v>
                </c:pt>
                <c:pt idx="60">
                  <c:v>52.161263538395431</c:v>
                </c:pt>
                <c:pt idx="61">
                  <c:v>51.957803254696763</c:v>
                </c:pt>
                <c:pt idx="62">
                  <c:v>51.75418338353478</c:v>
                </c:pt>
                <c:pt idx="63">
                  <c:v>51.550396733552503</c:v>
                </c:pt>
                <c:pt idx="64">
                  <c:v>51.346435805274936</c:v>
                </c:pt>
                <c:pt idx="65">
                  <c:v>51.142292779412799</c:v>
                </c:pt>
                <c:pt idx="66">
                  <c:v>50.93795950486804</c:v>
                </c:pt>
                <c:pt idx="67">
                  <c:v>50.733427486446566</c:v>
                </c:pt>
                <c:pt idx="68">
                  <c:v>50.528687872288216</c:v>
                </c:pt>
                <c:pt idx="69">
                  <c:v>50.3237314410256</c:v>
                </c:pt>
                <c:pt idx="70">
                  <c:v>50.118548588686018</c:v>
                </c:pt>
                <c:pt idx="71">
                  <c:v>49.913129315351497</c:v>
                </c:pt>
                <c:pt idx="72">
                  <c:v>49.707463211598828</c:v>
                </c:pt>
                <c:pt idx="73">
                  <c:v>49.501539444739883</c:v>
                </c:pt>
                <c:pt idx="74">
                  <c:v>49.295346744890473</c:v>
                </c:pt>
                <c:pt idx="75">
                  <c:v>49.088873390895095</c:v>
                </c:pt>
                <c:pt idx="76">
                  <c:v>48.882107196144162</c:v>
                </c:pt>
                <c:pt idx="77">
                  <c:v>48.67503549431931</c:v>
                </c:pt>
                <c:pt idx="78">
                  <c:v>48.467645125111183</c:v>
                </c:pt>
                <c:pt idx="79">
                  <c:v>48.25992241995629</c:v>
                </c:pt>
                <c:pt idx="80">
                  <c:v>48.051853187846632</c:v>
                </c:pt>
                <c:pt idx="81">
                  <c:v>47.843422701271223</c:v>
                </c:pt>
                <c:pt idx="82">
                  <c:v>47.634615682352347</c:v>
                </c:pt>
                <c:pt idx="83">
                  <c:v>47.425416289248908</c:v>
                </c:pt>
                <c:pt idx="84">
                  <c:v>47.215808102904695</c:v>
                </c:pt>
                <c:pt idx="85">
                  <c:v>47.005774114225147</c:v>
                </c:pt>
                <c:pt idx="86">
                  <c:v>46.79529671177437</c:v>
                </c:pt>
                <c:pt idx="87">
                  <c:v>46.584357670093809</c:v>
                </c:pt>
                <c:pt idx="88">
                  <c:v>46.372938138747386</c:v>
                </c:pt>
                <c:pt idx="89">
                  <c:v>46.161018632210613</c:v>
                </c:pt>
                <c:pt idx="90">
                  <c:v>45.948579020726257</c:v>
                </c:pt>
                <c:pt idx="91">
                  <c:v>45.735598522259764</c:v>
                </c:pt>
                <c:pt idx="92">
                  <c:v>45.522055695694512</c:v>
                </c:pt>
                <c:pt idx="93">
                  <c:v>45.307928435417381</c:v>
                </c:pt>
                <c:pt idx="94">
                  <c:v>45.093193967451271</c:v>
                </c:pt>
                <c:pt idx="95">
                  <c:v>44.877828847303014</c:v>
                </c:pt>
                <c:pt idx="96">
                  <c:v>44.661808959699201</c:v>
                </c:pt>
                <c:pt idx="97">
                  <c:v>44.445109520394169</c:v>
                </c:pt>
                <c:pt idx="98">
                  <c:v>44.227705080239097</c:v>
                </c:pt>
                <c:pt idx="99">
                  <c:v>44.009569531708891</c:v>
                </c:pt>
                <c:pt idx="100">
                  <c:v>43.790676118089571</c:v>
                </c:pt>
                <c:pt idx="101">
                  <c:v>43.570997445533628</c:v>
                </c:pt>
                <c:pt idx="102">
                  <c:v>43.350505498194863</c:v>
                </c:pt>
                <c:pt idx="103">
                  <c:v>43.129171656656013</c:v>
                </c:pt>
                <c:pt idx="104">
                  <c:v>42.906966719865096</c:v>
                </c:pt>
                <c:pt idx="105">
                  <c:v>42.683860930794594</c:v>
                </c:pt>
                <c:pt idx="106">
                  <c:v>42.459824006034353</c:v>
                </c:pt>
                <c:pt idx="107">
                  <c:v>42.234825169526154</c:v>
                </c:pt>
                <c:pt idx="108">
                  <c:v>42.008833190639535</c:v>
                </c:pt>
                <c:pt idx="109">
                  <c:v>41.78181642677788</c:v>
                </c:pt>
                <c:pt idx="110">
                  <c:v>41.553742870693746</c:v>
                </c:pt>
                <c:pt idx="111">
                  <c:v>41.32458020267449</c:v>
                </c:pt>
                <c:pt idx="112">
                  <c:v>41.094295847740618</c:v>
                </c:pt>
                <c:pt idx="113">
                  <c:v>40.862857037980035</c:v>
                </c:pt>
                <c:pt idx="114">
                  <c:v>40.630230880111704</c:v>
                </c:pt>
                <c:pt idx="115">
                  <c:v>40.396384428346707</c:v>
                </c:pt>
                <c:pt idx="116">
                  <c:v>40.1612847625805</c:v>
                </c:pt>
                <c:pt idx="117">
                  <c:v>39.924899071914425</c:v>
                </c:pt>
                <c:pt idx="118">
                  <c:v>39.687194743464879</c:v>
                </c:pt>
                <c:pt idx="119">
                  <c:v>39.448139456376474</c:v>
                </c:pt>
                <c:pt idx="120">
                  <c:v>39.207701280908445</c:v>
                </c:pt>
                <c:pt idx="121">
                  <c:v>38.965848782415492</c:v>
                </c:pt>
                <c:pt idx="122">
                  <c:v>38.722551129993725</c:v>
                </c:pt>
                <c:pt idx="123">
                  <c:v>38.47777820950752</c:v>
                </c:pt>
                <c:pt idx="124">
                  <c:v>38.231500740660593</c:v>
                </c:pt>
                <c:pt idx="125">
                  <c:v>37.983690397716273</c:v>
                </c:pt>
                <c:pt idx="126">
                  <c:v>37.734319933420714</c:v>
                </c:pt>
                <c:pt idx="127">
                  <c:v>37.483363305622255</c:v>
                </c:pt>
                <c:pt idx="128">
                  <c:v>37.230795806031189</c:v>
                </c:pt>
                <c:pt idx="129">
                  <c:v>36.97659419050914</c:v>
                </c:pt>
                <c:pt idx="130">
                  <c:v>36.720736810232069</c:v>
                </c:pt>
                <c:pt idx="131">
                  <c:v>36.463203743023385</c:v>
                </c:pt>
                <c:pt idx="132">
                  <c:v>36.203976924115935</c:v>
                </c:pt>
                <c:pt idx="133">
                  <c:v>35.943040275568386</c:v>
                </c:pt>
                <c:pt idx="134">
                  <c:v>35.680379833532491</c:v>
                </c:pt>
                <c:pt idx="135">
                  <c:v>35.415983872549099</c:v>
                </c:pt>
                <c:pt idx="136">
                  <c:v>35.149843026038646</c:v>
                </c:pt>
                <c:pt idx="137">
                  <c:v>34.881950402148874</c:v>
                </c:pt>
                <c:pt idx="138">
                  <c:v>34.612301694126934</c:v>
                </c:pt>
                <c:pt idx="139">
                  <c:v>34.34089528439894</c:v>
                </c:pt>
                <c:pt idx="140">
                  <c:v>34.067732341563257</c:v>
                </c:pt>
                <c:pt idx="141">
                  <c:v>33.792816909538004</c:v>
                </c:pt>
                <c:pt idx="142">
                  <c:v>33.516155988144021</c:v>
                </c:pt>
                <c:pt idx="143">
                  <c:v>33.237759604456386</c:v>
                </c:pt>
                <c:pt idx="144">
                  <c:v>32.957640874315935</c:v>
                </c:pt>
                <c:pt idx="145">
                  <c:v>32.675816053456387</c:v>
                </c:pt>
                <c:pt idx="146">
                  <c:v>32.392304577777473</c:v>
                </c:pt>
                <c:pt idx="147">
                  <c:v>32.107129092367046</c:v>
                </c:pt>
                <c:pt idx="148">
                  <c:v>31.820315468960942</c:v>
                </c:pt>
                <c:pt idx="149">
                  <c:v>31.531892811607314</c:v>
                </c:pt>
                <c:pt idx="150">
                  <c:v>31.241893450391665</c:v>
                </c:pt>
                <c:pt idx="151">
                  <c:v>30.950352923159819</c:v>
                </c:pt>
                <c:pt idx="152">
                  <c:v>30.657309945262167</c:v>
                </c:pt>
                <c:pt idx="153">
                  <c:v>30.362806367421264</c:v>
                </c:pt>
                <c:pt idx="154">
                  <c:v>30.066887121903179</c:v>
                </c:pt>
                <c:pt idx="155">
                  <c:v>29.769600157246387</c:v>
                </c:pt>
                <c:pt idx="156">
                  <c:v>29.470996361866057</c:v>
                </c:pt>
                <c:pt idx="157">
                  <c:v>29.17112947691362</c:v>
                </c:pt>
                <c:pt idx="158">
                  <c:v>28.870055998827219</c:v>
                </c:pt>
                <c:pt idx="159">
                  <c:v>28.567835072049519</c:v>
                </c:pt>
                <c:pt idx="160">
                  <c:v>28.264528372432231</c:v>
                </c:pt>
                <c:pt idx="161">
                  <c:v>27.960199981878205</c:v>
                </c:pt>
                <c:pt idx="162">
                  <c:v>27.654916254790159</c:v>
                </c:pt>
                <c:pt idx="163">
                  <c:v>27.348745676919563</c:v>
                </c:pt>
                <c:pt idx="164">
                  <c:v>27.041758717215082</c:v>
                </c:pt>
                <c:pt idx="165">
                  <c:v>26.734027673273456</c:v>
                </c:pt>
                <c:pt idx="166">
                  <c:v>26.425626511000516</c:v>
                </c:pt>
                <c:pt idx="167">
                  <c:v>26.116630699080361</c:v>
                </c:pt>
                <c:pt idx="168">
                  <c:v>25.807117038845817</c:v>
                </c:pt>
                <c:pt idx="169">
                  <c:v>25.497163490133129</c:v>
                </c:pt>
                <c:pt idx="170">
                  <c:v>25.18684899369017</c:v>
                </c:pt>
                <c:pt idx="171">
                  <c:v>24.876253290699868</c:v>
                </c:pt>
                <c:pt idx="172">
                  <c:v>24.565456739962904</c:v>
                </c:pt>
                <c:pt idx="173">
                  <c:v>24.254540133280326</c:v>
                </c:pt>
                <c:pt idx="174">
                  <c:v>23.94358450956037</c:v>
                </c:pt>
                <c:pt idx="175">
                  <c:v>23.632670968173972</c:v>
                </c:pt>
                <c:pt idx="176">
                  <c:v>23.321880482074434</c:v>
                </c:pt>
                <c:pt idx="177">
                  <c:v>23.011293711199382</c:v>
                </c:pt>
                <c:pt idx="178">
                  <c:v>22.700990816669766</c:v>
                </c:pt>
                <c:pt idx="179">
                  <c:v>22.391051276312453</c:v>
                </c:pt>
                <c:pt idx="180">
                  <c:v>22.081553702031496</c:v>
                </c:pt>
                <c:pt idx="181">
                  <c:v>21.772575659570371</c:v>
                </c:pt>
                <c:pt idx="182">
                  <c:v>21.464193491210921</c:v>
                </c:pt>
                <c:pt idx="183">
                  <c:v>21.156482141971949</c:v>
                </c:pt>
                <c:pt idx="184">
                  <c:v>20.84951498987985</c:v>
                </c:pt>
                <c:pt idx="185">
                  <c:v>20.543363680893385</c:v>
                </c:pt>
                <c:pt idx="186">
                  <c:v>20.238097969077032</c:v>
                </c:pt>
                <c:pt idx="187">
                  <c:v>19.933785562623758</c:v>
                </c:pt>
                <c:pt idx="188">
                  <c:v>19.630491976328585</c:v>
                </c:pt>
                <c:pt idx="189">
                  <c:v>19.328280391118604</c:v>
                </c:pt>
                <c:pt idx="190">
                  <c:v>19.027211521234925</c:v>
                </c:pt>
                <c:pt idx="191">
                  <c:v>18.727343489652338</c:v>
                </c:pt>
                <c:pt idx="192">
                  <c:v>18.428731712303801</c:v>
                </c:pt>
                <c:pt idx="193">
                  <c:v>18.131428791651196</c:v>
                </c:pt>
                <c:pt idx="194">
                  <c:v>17.835484420110749</c:v>
                </c:pt>
                <c:pt idx="195">
                  <c:v>17.54094529380253</c:v>
                </c:pt>
                <c:pt idx="196">
                  <c:v>17.247855037043884</c:v>
                </c:pt>
                <c:pt idx="197">
                  <c:v>16.956254137953092</c:v>
                </c:pt>
                <c:pt idx="198">
                  <c:v>16.666179895466399</c:v>
                </c:pt>
                <c:pt idx="199">
                  <c:v>16.377666378005177</c:v>
                </c:pt>
                <c:pt idx="200">
                  <c:v>16.090744393953937</c:v>
                </c:pt>
                <c:pt idx="201">
                  <c:v>15.805441474034295</c:v>
                </c:pt>
                <c:pt idx="202">
                  <c:v>15.521781865575663</c:v>
                </c:pt>
                <c:pt idx="203">
                  <c:v>15.239786538602617</c:v>
                </c:pt>
                <c:pt idx="204">
                  <c:v>14.959473203571573</c:v>
                </c:pt>
                <c:pt idx="205">
                  <c:v>14.680856340504494</c:v>
                </c:pt>
                <c:pt idx="206">
                  <c:v>14.403947239187293</c:v>
                </c:pt>
                <c:pt idx="207">
                  <c:v>14.128754050016632</c:v>
                </c:pt>
                <c:pt idx="208">
                  <c:v>13.855281845005132</c:v>
                </c:pt>
                <c:pt idx="209">
                  <c:v>13.583532688383981</c:v>
                </c:pt>
                <c:pt idx="210">
                  <c:v>13.313505716176088</c:v>
                </c:pt>
                <c:pt idx="211">
                  <c:v>13.045197224058713</c:v>
                </c:pt>
                <c:pt idx="212">
                  <c:v>12.778600762780865</c:v>
                </c:pt>
                <c:pt idx="213">
                  <c:v>12.513707240365726</c:v>
                </c:pt>
                <c:pt idx="214">
                  <c:v>12.250505030291759</c:v>
                </c:pt>
                <c:pt idx="215">
                  <c:v>11.988980084826961</c:v>
                </c:pt>
                <c:pt idx="216">
                  <c:v>11.729116052676996</c:v>
                </c:pt>
                <c:pt idx="217">
                  <c:v>11.470894400103166</c:v>
                </c:pt>
                <c:pt idx="218">
                  <c:v>11.214294534672467</c:v>
                </c:pt>
                <c:pt idx="219">
                  <c:v>10.959293930814502</c:v>
                </c:pt>
                <c:pt idx="220">
                  <c:v>10.705868256381281</c:v>
                </c:pt>
                <c:pt idx="221">
                  <c:v>10.453991499435634</c:v>
                </c:pt>
                <c:pt idx="222">
                  <c:v>10.203636094526709</c:v>
                </c:pt>
                <c:pt idx="223">
                  <c:v>9.9547730477534184</c:v>
                </c:pt>
                <c:pt idx="224">
                  <c:v>9.7073720599610027</c:v>
                </c:pt>
                <c:pt idx="225">
                  <c:v>9.4614016474648945</c:v>
                </c:pt>
                <c:pt idx="226">
                  <c:v>9.2168292597481241</c:v>
                </c:pt>
                <c:pt idx="227">
                  <c:v>8.973621393633394</c:v>
                </c:pt>
                <c:pt idx="228">
                  <c:v>8.7317437034837848</c:v>
                </c:pt>
                <c:pt idx="229">
                  <c:v>8.4911611070450697</c:v>
                </c:pt>
                <c:pt idx="230">
                  <c:v>8.251837886595462</c:v>
                </c:pt>
                <c:pt idx="231">
                  <c:v>8.0137377851237019</c:v>
                </c:pt>
                <c:pt idx="232">
                  <c:v>7.7768240973102545</c:v>
                </c:pt>
                <c:pt idx="233">
                  <c:v>7.541059755135807</c:v>
                </c:pt>
                <c:pt idx="234">
                  <c:v>7.3064074079910242</c:v>
                </c:pt>
                <c:pt idx="235">
                  <c:v>7.0728294972055474</c:v>
                </c:pt>
                <c:pt idx="236">
                  <c:v>6.840288324958351</c:v>
                </c:pt>
                <c:pt idx="237">
                  <c:v>6.608746117569563</c:v>
                </c:pt>
                <c:pt idx="238">
                  <c:v>6.3781650832101295</c:v>
                </c:pt>
                <c:pt idx="239">
                  <c:v>6.1485074640980972</c:v>
                </c:pt>
                <c:pt idx="240">
                  <c:v>5.9197355832787899</c:v>
                </c:pt>
                <c:pt idx="241">
                  <c:v>5.691811886112685</c:v>
                </c:pt>
                <c:pt idx="242">
                  <c:v>5.4646989766145673</c:v>
                </c:pt>
                <c:pt idx="243">
                  <c:v>5.2383596488100785</c:v>
                </c:pt>
                <c:pt idx="244">
                  <c:v>5.0127569132885785</c:v>
                </c:pt>
                <c:pt idx="245">
                  <c:v>4.7878540191459846</c:v>
                </c:pt>
                <c:pt idx="246">
                  <c:v>4.563614471521003</c:v>
                </c:pt>
                <c:pt idx="247">
                  <c:v>4.3400020449375303</c:v>
                </c:pt>
                <c:pt idx="248">
                  <c:v>4.1169807926705886</c:v>
                </c:pt>
                <c:pt idx="249">
                  <c:v>3.8945150523573133</c:v>
                </c:pt>
                <c:pt idx="250">
                  <c:v>3.6725694480780997</c:v>
                </c:pt>
                <c:pt idx="251">
                  <c:v>3.4511088891327462</c:v>
                </c:pt>
                <c:pt idx="252">
                  <c:v>3.2300985657349743</c:v>
                </c:pt>
                <c:pt idx="253">
                  <c:v>3.0095039418509066</c:v>
                </c:pt>
                <c:pt idx="254">
                  <c:v>2.7892907453995845</c:v>
                </c:pt>
                <c:pt idx="255">
                  <c:v>2.5694249560349252</c:v>
                </c:pt>
                <c:pt idx="256">
                  <c:v>2.3498727907238037</c:v>
                </c:pt>
                <c:pt idx="257">
                  <c:v>2.1306006873294998</c:v>
                </c:pt>
                <c:pt idx="258">
                  <c:v>1.9115752864074325</c:v>
                </c:pt>
                <c:pt idx="259">
                  <c:v>1.6927634114176959</c:v>
                </c:pt>
                <c:pt idx="260">
                  <c:v>1.4741320475498263</c:v>
                </c:pt>
                <c:pt idx="261">
                  <c:v>1.2556483193587344</c:v>
                </c:pt>
                <c:pt idx="262">
                  <c:v>1.0372794674005199</c:v>
                </c:pt>
                <c:pt idx="263">
                  <c:v>0.81899282405829055</c:v>
                </c:pt>
                <c:pt idx="264">
                  <c:v>0.60075578874572311</c:v>
                </c:pt>
                <c:pt idx="265">
                  <c:v>0.38253580266944442</c:v>
                </c:pt>
                <c:pt idx="266">
                  <c:v>0.16430032333589753</c:v>
                </c:pt>
                <c:pt idx="267">
                  <c:v>-5.3983201016529606E-2</c:v>
                </c:pt>
                <c:pt idx="268">
                  <c:v>-0.27234735687808348</c:v>
                </c:pt>
                <c:pt idx="269">
                  <c:v>-0.49082479063885631</c:v>
                </c:pt>
                <c:pt idx="270">
                  <c:v>-0.70944823328855722</c:v>
                </c:pt>
                <c:pt idx="271">
                  <c:v>-0.92825052445929979</c:v>
                </c:pt>
                <c:pt idx="272">
                  <c:v>-1.1472646356248049</c:v>
                </c:pt>
                <c:pt idx="273">
                  <c:v>-1.3665236922686881</c:v>
                </c:pt>
                <c:pt idx="274">
                  <c:v>-1.5860609948284048</c:v>
                </c:pt>
                <c:pt idx="275">
                  <c:v>-1.8059100382194311</c:v>
                </c:pt>
                <c:pt idx="276">
                  <c:v>-2.0261045297419278</c:v>
                </c:pt>
                <c:pt idx="277">
                  <c:v>-2.2466784051663264</c:v>
                </c:pt>
                <c:pt idx="278">
                  <c:v>-2.4676658427907308</c:v>
                </c:pt>
                <c:pt idx="279">
                  <c:v>-2.6891012752610828</c:v>
                </c:pt>
                <c:pt idx="280">
                  <c:v>-2.9110193989376714</c:v>
                </c:pt>
                <c:pt idx="281">
                  <c:v>-3.1334551805929918</c:v>
                </c:pt>
                <c:pt idx="282">
                  <c:v>-3.3564438612176621</c:v>
                </c:pt>
                <c:pt idx="283">
                  <c:v>-3.5800209567148493</c:v>
                </c:pt>
                <c:pt idx="284">
                  <c:v>-3.8042222552562692</c:v>
                </c:pt>
                <c:pt idx="285">
                  <c:v>-4.0290838110779532</c:v>
                </c:pt>
                <c:pt idx="286">
                  <c:v>-4.2546419344921382</c:v>
                </c:pt>
                <c:pt idx="287">
                  <c:v>-4.4809331778934478</c:v>
                </c:pt>
                <c:pt idx="288">
                  <c:v>-4.7079943175462597</c:v>
                </c:pt>
                <c:pt idx="289">
                  <c:v>-4.935862330939595</c:v>
                </c:pt>
                <c:pt idx="290">
                  <c:v>-5.1645743695126001</c:v>
                </c:pt>
                <c:pt idx="291">
                  <c:v>-5.3941677265562848</c:v>
                </c:pt>
                <c:pt idx="292">
                  <c:v>-5.6246798001178924</c:v>
                </c:pt>
                <c:pt idx="293">
                  <c:v>-5.8561480507462846</c:v>
                </c:pt>
                <c:pt idx="294">
                  <c:v>-6.0886099539379526</c:v>
                </c:pt>
                <c:pt idx="295">
                  <c:v>-6.3221029471662158</c:v>
                </c:pt>
                <c:pt idx="296">
                  <c:v>-6.5566643714012649</c:v>
                </c:pt>
                <c:pt idx="297">
                  <c:v>-6.7923314070591481</c:v>
                </c:pt>
                <c:pt idx="298">
                  <c:v>-7.0291410043508886</c:v>
                </c:pt>
                <c:pt idx="299">
                  <c:v>-7.2671298080379731</c:v>
                </c:pt>
                <c:pt idx="300">
                  <c:v>-7.5063340766426281</c:v>
                </c:pt>
                <c:pt idx="301">
                  <c:v>-7.7467895962020563</c:v>
                </c:pt>
                <c:pt idx="302">
                  <c:v>-7.9885315887047179</c:v>
                </c:pt>
                <c:pt idx="303">
                  <c:v>-8.2315946153927619</c:v>
                </c:pt>
                <c:pt idx="304">
                  <c:v>-8.4760124751691173</c:v>
                </c:pt>
                <c:pt idx="305">
                  <c:v>-8.7218180984003411</c:v>
                </c:pt>
                <c:pt idx="306">
                  <c:v>-8.9690434364596214</c:v>
                </c:pt>
                <c:pt idx="307">
                  <c:v>-9.2177193474131478</c:v>
                </c:pt>
                <c:pt idx="308">
                  <c:v>-9.4678754783087289</c:v>
                </c:pt>
                <c:pt idx="309">
                  <c:v>-9.7195401445782039</c:v>
                </c:pt>
                <c:pt idx="310">
                  <c:v>-9.9727402071242039</c:v>
                </c:pt>
                <c:pt idx="311">
                  <c:v>-10.227500947711171</c:v>
                </c:pt>
                <c:pt idx="312">
                  <c:v>-10.483845943330422</c:v>
                </c:pt>
                <c:pt idx="313">
                  <c:v>-10.741796940255153</c:v>
                </c:pt>
                <c:pt idx="314">
                  <c:v>-11.001373728540813</c:v>
                </c:pt>
                <c:pt idx="315">
                  <c:v>-11.262594017761572</c:v>
                </c:pt>
                <c:pt idx="316">
                  <c:v>-11.525473314803339</c:v>
                </c:pt>
                <c:pt idx="317">
                  <c:v>-11.790024804551837</c:v>
                </c:pt>
                <c:pt idx="318">
                  <c:v>-12.05625923433076</c:v>
                </c:pt>
                <c:pt idx="319">
                  <c:v>-12.32418480294718</c:v>
                </c:pt>
                <c:pt idx="320">
                  <c:v>-12.59380705519944</c:v>
                </c:pt>
                <c:pt idx="321">
                  <c:v>-12.865128782686124</c:v>
                </c:pt>
                <c:pt idx="322">
                  <c:v>-13.138149931735473</c:v>
                </c:pt>
                <c:pt idx="323">
                  <c:v>-13.412867519239448</c:v>
                </c:pt>
                <c:pt idx="324">
                  <c:v>-13.689275557138068</c:v>
                </c:pt>
                <c:pt idx="325">
                  <c:v>-13.967364986246562</c:v>
                </c:pt>
                <c:pt idx="326">
                  <c:v>-14.24712362006408</c:v>
                </c:pt>
                <c:pt idx="327">
                  <c:v>-14.528536099132426</c:v>
                </c:pt>
                <c:pt idx="328">
                  <c:v>-14.811583856447561</c:v>
                </c:pt>
                <c:pt idx="329">
                  <c:v>-15.096245094343018</c:v>
                </c:pt>
                <c:pt idx="330">
                  <c:v>-15.382494773189141</c:v>
                </c:pt>
                <c:pt idx="331">
                  <c:v>-15.670304612162413</c:v>
                </c:pt>
                <c:pt idx="332">
                  <c:v>-15.9596431022572</c:v>
                </c:pt>
                <c:pt idx="333">
                  <c:v>-16.250475531623433</c:v>
                </c:pt>
                <c:pt idx="334">
                  <c:v>-16.542764023227921</c:v>
                </c:pt>
                <c:pt idx="335">
                  <c:v>-16.836467584753848</c:v>
                </c:pt>
                <c:pt idx="336">
                  <c:v>-17.131542170573063</c:v>
                </c:pt>
                <c:pt idx="337">
                  <c:v>-17.427940755547453</c:v>
                </c:pt>
                <c:pt idx="338">
                  <c:v>-17.72561342034632</c:v>
                </c:pt>
                <c:pt idx="339">
                  <c:v>-18.024507447899335</c:v>
                </c:pt>
                <c:pt idx="340">
                  <c:v>-18.324567430547638</c:v>
                </c:pt>
                <c:pt idx="341">
                  <c:v>-18.625735387401086</c:v>
                </c:pt>
                <c:pt idx="342">
                  <c:v>-18.927950891366113</c:v>
                </c:pt>
                <c:pt idx="343">
                  <c:v>-19.231151205268365</c:v>
                </c:pt>
                <c:pt idx="344">
                  <c:v>-19.53527142646497</c:v>
                </c:pt>
                <c:pt idx="345">
                  <c:v>-19.840244639314182</c:v>
                </c:pt>
                <c:pt idx="346">
                  <c:v>-20.146002074852323</c:v>
                </c:pt>
                <c:pt idx="347">
                  <c:v>-20.452473277012579</c:v>
                </c:pt>
                <c:pt idx="348">
                  <c:v>-20.759586274714636</c:v>
                </c:pt>
                <c:pt idx="349">
                  <c:v>-21.067267759145135</c:v>
                </c:pt>
                <c:pt idx="350">
                  <c:v>-21.375443265550587</c:v>
                </c:pt>
                <c:pt idx="351">
                  <c:v>-21.684037358861733</c:v>
                </c:pt>
                <c:pt idx="352">
                  <c:v>-21.99297382247557</c:v>
                </c:pt>
                <c:pt idx="353">
                  <c:v>-22.302175849515976</c:v>
                </c:pt>
                <c:pt idx="354">
                  <c:v>-22.611566235908175</c:v>
                </c:pt>
                <c:pt idx="355">
                  <c:v>-22.921067574593266</c:v>
                </c:pt>
                <c:pt idx="356">
                  <c:v>-23.230602450220875</c:v>
                </c:pt>
                <c:pt idx="357">
                  <c:v>-23.540093633651949</c:v>
                </c:pt>
                <c:pt idx="358">
                  <c:v>-23.849464275606561</c:v>
                </c:pt>
                <c:pt idx="359">
                  <c:v>-24.158638098788114</c:v>
                </c:pt>
                <c:pt idx="360">
                  <c:v>-24.467539587812652</c:v>
                </c:pt>
                <c:pt idx="361">
                  <c:v>-24.776094176266774</c:v>
                </c:pt>
                <c:pt idx="362">
                  <c:v>-25.084228430214651</c:v>
                </c:pt>
                <c:pt idx="363">
                  <c:v>-25.391870227466686</c:v>
                </c:pt>
                <c:pt idx="364">
                  <c:v>-25.698948931920679</c:v>
                </c:pt>
                <c:pt idx="365">
                  <c:v>-26.005395562283752</c:v>
                </c:pt>
                <c:pt idx="366">
                  <c:v>-26.311142954478782</c:v>
                </c:pt>
                <c:pt idx="367">
                  <c:v>-26.616125917047434</c:v>
                </c:pt>
                <c:pt idx="368">
                  <c:v>-26.920281378863148</c:v>
                </c:pt>
                <c:pt idx="369">
                  <c:v>-27.223548528480723</c:v>
                </c:pt>
                <c:pt idx="370">
                  <c:v>-27.525868944466872</c:v>
                </c:pt>
                <c:pt idx="371">
                  <c:v>-27.827186716079137</c:v>
                </c:pt>
                <c:pt idx="372">
                  <c:v>-28.127448553687366</c:v>
                </c:pt>
                <c:pt idx="373">
                  <c:v>-28.426603888375372</c:v>
                </c:pt>
                <c:pt idx="374">
                  <c:v>-28.72460496020182</c:v>
                </c:pt>
                <c:pt idx="375">
                  <c:v>-29.021406894653758</c:v>
                </c:pt>
                <c:pt idx="376">
                  <c:v>-29.316967766888226</c:v>
                </c:pt>
                <c:pt idx="377">
                  <c:v>-29.611248653425712</c:v>
                </c:pt>
                <c:pt idx="378">
                  <c:v>-29.904213671037002</c:v>
                </c:pt>
                <c:pt idx="379">
                  <c:v>-30.195830002644939</c:v>
                </c:pt>
                <c:pt idx="380">
                  <c:v>-30.486067910156439</c:v>
                </c:pt>
                <c:pt idx="381">
                  <c:v>-30.77490073422603</c:v>
                </c:pt>
                <c:pt idx="382">
                  <c:v>-31.062304881059507</c:v>
                </c:pt>
                <c:pt idx="383">
                  <c:v>-31.348259796455935</c:v>
                </c:pt>
                <c:pt idx="384">
                  <c:v>-31.632747927393936</c:v>
                </c:pt>
                <c:pt idx="385">
                  <c:v>-31.915754671565971</c:v>
                </c:pt>
                <c:pt idx="386">
                  <c:v>-32.19726831536169</c:v>
                </c:pt>
                <c:pt idx="387">
                  <c:v>-32.477279960897846</c:v>
                </c:pt>
                <c:pt idx="388">
                  <c:v>-32.755783442783006</c:v>
                </c:pt>
                <c:pt idx="389">
                  <c:v>-33.032775235386126</c:v>
                </c:pt>
                <c:pt idx="390">
                  <c:v>-33.308254351457769</c:v>
                </c:pt>
                <c:pt idx="391">
                  <c:v>-33.582222233016985</c:v>
                </c:pt>
                <c:pt idx="392">
                  <c:v>-33.854682635477616</c:v>
                </c:pt>
                <c:pt idx="393">
                  <c:v>-34.125641506030895</c:v>
                </c:pt>
                <c:pt idx="394">
                  <c:v>-34.395106857339577</c:v>
                </c:pt>
                <c:pt idx="395">
                  <c:v>-34.663088637621911</c:v>
                </c:pt>
                <c:pt idx="396">
                  <c:v>-34.929598598210951</c:v>
                </c:pt>
                <c:pt idx="397">
                  <c:v>-35.194650159680101</c:v>
                </c:pt>
                <c:pt idx="398">
                  <c:v>-35.458258277604031</c:v>
                </c:pt>
                <c:pt idx="399">
                  <c:v>-35.720439309006167</c:v>
                </c:pt>
                <c:pt idx="400">
                  <c:v>-35.981210880498445</c:v>
                </c:pt>
                <c:pt idx="401">
                  <c:v>-36.240591759076885</c:v>
                </c:pt>
                <c:pt idx="402">
                  <c:v>-36.498601726473382</c:v>
                </c:pt>
                <c:pt idx="403">
                  <c:v>-36.755261457898371</c:v>
                </c:pt>
                <c:pt idx="404">
                  <c:v>-37.01059240593041</c:v>
                </c:pt>
                <c:pt idx="405">
                  <c:v>-37.264616690227967</c:v>
                </c:pt>
                <c:pt idx="406">
                  <c:v>-37.517356993646736</c:v>
                </c:pt>
                <c:pt idx="407">
                  <c:v>-37.768836465253806</c:v>
                </c:pt>
                <c:pt idx="408">
                  <c:v>-38.019078630634397</c:v>
                </c:pt>
                <c:pt idx="409">
                  <c:v>-38.26810730978751</c:v>
                </c:pt>
                <c:pt idx="410">
                  <c:v>-38.51594654280872</c:v>
                </c:pt>
                <c:pt idx="411">
                  <c:v>-38.762620523463745</c:v>
                </c:pt>
                <c:pt idx="412">
                  <c:v>-39.008153540662228</c:v>
                </c:pt>
                <c:pt idx="413">
                  <c:v>-39.252569927750244</c:v>
                </c:pt>
                <c:pt idx="414">
                  <c:v>-39.495894019456671</c:v>
                </c:pt>
                <c:pt idx="415">
                  <c:v>-39.738150116254324</c:v>
                </c:pt>
                <c:pt idx="416">
                  <c:v>-39.979362455820336</c:v>
                </c:pt>
                <c:pt idx="417">
                  <c:v>-40.219555191223861</c:v>
                </c:pt>
                <c:pt idx="418">
                  <c:v>-40.458752375413567</c:v>
                </c:pt>
                <c:pt idx="419">
                  <c:v>-40.696977951535985</c:v>
                </c:pt>
                <c:pt idx="420">
                  <c:v>-40.934255748577826</c:v>
                </c:pt>
                <c:pt idx="421">
                  <c:v>-41.170609481807332</c:v>
                </c:pt>
                <c:pt idx="422">
                  <c:v>-41.406062757469904</c:v>
                </c:pt>
                <c:pt idx="423">
                  <c:v>-41.640639081190258</c:v>
                </c:pt>
                <c:pt idx="424">
                  <c:v>-41.874361869538667</c:v>
                </c:pt>
                <c:pt idx="425">
                  <c:v>-42.107254464228035</c:v>
                </c:pt>
                <c:pt idx="426">
                  <c:v>-42.339340148430026</c:v>
                </c:pt>
                <c:pt idx="427">
                  <c:v>-42.570642164724639</c:v>
                </c:pt>
                <c:pt idx="428">
                  <c:v>-42.801183734229795</c:v>
                </c:pt>
                <c:pt idx="429">
                  <c:v>-43.030988076492484</c:v>
                </c:pt>
                <c:pt idx="430">
                  <c:v>-43.260078429767702</c:v>
                </c:pt>
                <c:pt idx="431">
                  <c:v>-43.488478071349867</c:v>
                </c:pt>
                <c:pt idx="432">
                  <c:v>-43.716210337669033</c:v>
                </c:pt>
                <c:pt idx="433">
                  <c:v>-43.94329864391068</c:v>
                </c:pt>
                <c:pt idx="434">
                  <c:v>-44.169766502959121</c:v>
                </c:pt>
                <c:pt idx="435">
                  <c:v>-44.395637543513075</c:v>
                </c:pt>
                <c:pt idx="436">
                  <c:v>-44.620935527262603</c:v>
                </c:pt>
                <c:pt idx="437">
                  <c:v>-44.845684365054041</c:v>
                </c:pt>
                <c:pt idx="438">
                  <c:v>-45.069908132011484</c:v>
                </c:pt>
                <c:pt idx="439">
                  <c:v>-45.293631081610172</c:v>
                </c:pt>
                <c:pt idx="440">
                  <c:v>-45.516877658733854</c:v>
                </c:pt>
                <c:pt idx="441">
                  <c:v>-45.739672511765434</c:v>
                </c:pt>
                <c:pt idx="442">
                  <c:v>-45.962040503790178</c:v>
                </c:pt>
                <c:pt idx="443">
                  <c:v>-46.18400672300038</c:v>
                </c:pt>
                <c:pt idx="444">
                  <c:v>-46.405596492408144</c:v>
                </c:pt>
                <c:pt idx="445">
                  <c:v>-46.626835378981781</c:v>
                </c:pt>
                <c:pt idx="446">
                  <c:v>-46.847749202324813</c:v>
                </c:pt>
                <c:pt idx="447">
                  <c:v>-47.068364043019514</c:v>
                </c:pt>
                <c:pt idx="448">
                  <c:v>-47.28870625075831</c:v>
                </c:pt>
                <c:pt idx="449">
                  <c:v>-47.508802452378248</c:v>
                </c:pt>
                <c:pt idx="450">
                  <c:v>-47.728679559910489</c:v>
                </c:pt>
                <c:pt idx="451">
                  <c:v>-47.948364778746082</c:v>
                </c:pt>
                <c:pt idx="452">
                  <c:v>-48.167885616011546</c:v>
                </c:pt>
                <c:pt idx="453">
                  <c:v>-48.387269889231533</c:v>
                </c:pt>
                <c:pt idx="454">
                  <c:v>-48.606545735345605</c:v>
                </c:pt>
                <c:pt idx="455">
                  <c:v>-48.825741620131417</c:v>
                </c:pt>
                <c:pt idx="456">
                  <c:v>-49.044886348069987</c:v>
                </c:pt>
                <c:pt idx="457">
                  <c:v>-49.264009072673581</c:v>
                </c:pt>
                <c:pt idx="458">
                  <c:v>-49.483139307283331</c:v>
                </c:pt>
                <c:pt idx="459">
                  <c:v>-49.702306936322024</c:v>
                </c:pt>
                <c:pt idx="460">
                  <c:v>-49.92154222697755</c:v>
                </c:pt>
                <c:pt idx="461">
                  <c:v>-50.140875841272276</c:v>
                </c:pt>
                <c:pt idx="462">
                  <c:v>-50.36033884845989</c:v>
                </c:pt>
                <c:pt idx="463">
                  <c:v>-50.579962737675011</c:v>
                </c:pt>
                <c:pt idx="464">
                  <c:v>-50.799779430745829</c:v>
                </c:pt>
                <c:pt idx="465">
                  <c:v>-51.019821295066734</c:v>
                </c:pt>
                <c:pt idx="466">
                  <c:v>-51.240121156411192</c:v>
                </c:pt>
                <c:pt idx="467">
                  <c:v>-51.46071231155473</c:v>
                </c:pt>
                <c:pt idx="468">
                  <c:v>-51.681628540562798</c:v>
                </c:pt>
                <c:pt idx="469">
                  <c:v>-51.902904118585894</c:v>
                </c:pt>
                <c:pt idx="470">
                  <c:v>-52.124573826994151</c:v>
                </c:pt>
                <c:pt idx="471">
                  <c:v>-52.346672963670969</c:v>
                </c:pt>
                <c:pt idx="472">
                  <c:v>-52.569237352275977</c:v>
                </c:pt>
                <c:pt idx="473">
                  <c:v>-52.792303350276015</c:v>
                </c:pt>
                <c:pt idx="474">
                  <c:v>-53.015907855539112</c:v>
                </c:pt>
                <c:pt idx="475">
                  <c:v>-53.2400883112713</c:v>
                </c:pt>
                <c:pt idx="476">
                  <c:v>-53.464882709075887</c:v>
                </c:pt>
                <c:pt idx="477">
                  <c:v>-53.69032958990617</c:v>
                </c:pt>
                <c:pt idx="478">
                  <c:v>-53.916468042678019</c:v>
                </c:pt>
                <c:pt idx="479">
                  <c:v>-54.143337700307313</c:v>
                </c:pt>
                <c:pt idx="480">
                  <c:v>-54.370978732934461</c:v>
                </c:pt>
                <c:pt idx="481">
                  <c:v>-54.599431838099477</c:v>
                </c:pt>
                <c:pt idx="482">
                  <c:v>-54.828738227631284</c:v>
                </c:pt>
                <c:pt idx="483">
                  <c:v>-55.058939611024257</c:v>
                </c:pt>
                <c:pt idx="484">
                  <c:v>-55.29007817507329</c:v>
                </c:pt>
                <c:pt idx="485">
                  <c:v>-55.522196559554544</c:v>
                </c:pt>
                <c:pt idx="486">
                  <c:v>-55.755337828749703</c:v>
                </c:pt>
                <c:pt idx="487">
                  <c:v>-55.989545438620674</c:v>
                </c:pt>
                <c:pt idx="488">
                  <c:v>-56.224863199465538</c:v>
                </c:pt>
                <c:pt idx="489">
                  <c:v>-56.461335233901764</c:v>
                </c:pt>
                <c:pt idx="490">
                  <c:v>-56.699005930051143</c:v>
                </c:pt>
                <c:pt idx="491">
                  <c:v>-56.937919889822112</c:v>
                </c:pt>
                <c:pt idx="492">
                  <c:v>-57.17812187222134</c:v>
                </c:pt>
                <c:pt idx="493">
                  <c:v>-57.419656731654037</c:v>
                </c:pt>
                <c:pt idx="494">
                  <c:v>-57.662569351216682</c:v>
                </c:pt>
                <c:pt idx="495">
                  <c:v>-57.906904571017968</c:v>
                </c:pt>
                <c:pt idx="496">
                  <c:v>-58.152707111614177</c:v>
                </c:pt>
                <c:pt idx="497">
                  <c:v>-58.400021492687166</c:v>
                </c:pt>
                <c:pt idx="498">
                  <c:v>-58.648891947141706</c:v>
                </c:pt>
                <c:pt idx="499">
                  <c:v>-58.899362330854146</c:v>
                </c:pt>
                <c:pt idx="500">
                  <c:v>-59.151476028348569</c:v>
                </c:pt>
                <c:pt idx="501">
                  <c:v>-59.405275854739216</c:v>
                </c:pt>
                <c:pt idx="502">
                  <c:v>-59.660803954324606</c:v>
                </c:pt>
                <c:pt idx="503">
                  <c:v>-59.918101696276523</c:v>
                </c:pt>
                <c:pt idx="504">
                  <c:v>-60.177209567916414</c:v>
                </c:pt>
                <c:pt idx="505">
                  <c:v>-60.43816706612656</c:v>
                </c:pt>
                <c:pt idx="506">
                  <c:v>-60.70101258748663</c:v>
                </c:pt>
                <c:pt idx="507">
                  <c:v>-60.965783317773514</c:v>
                </c:pt>
                <c:pt idx="508">
                  <c:v>-61.232515121502345</c:v>
                </c:pt>
                <c:pt idx="509">
                  <c:v>-61.501242432217296</c:v>
                </c:pt>
                <c:pt idx="510">
                  <c:v>-61.771998144273937</c:v>
                </c:pt>
                <c:pt idx="511">
                  <c:v>-62.044813506872273</c:v>
                </c:pt>
                <c:pt idx="512">
                  <c:v>-62.319718021112564</c:v>
                </c:pt>
                <c:pt idx="513">
                  <c:v>-62.596739340853695</c:v>
                </c:pt>
                <c:pt idx="514">
                  <c:v>-62.875903178145975</c:v>
                </c:pt>
                <c:pt idx="515">
                  <c:v>-63.157233213997664</c:v>
                </c:pt>
                <c:pt idx="516">
                  <c:v>-63.440751015213756</c:v>
                </c:pt>
                <c:pt idx="517">
                  <c:v>-63.726475958006944</c:v>
                </c:pt>
                <c:pt idx="518">
                  <c:v>-64.014425159044592</c:v>
                </c:pt>
                <c:pt idx="519">
                  <c:v>-64.304613414539432</c:v>
                </c:pt>
                <c:pt idx="520">
                  <c:v>-64.597053147933224</c:v>
                </c:pt>
                <c:pt idx="521">
                  <c:v>-64.891754366654425</c:v>
                </c:pt>
                <c:pt idx="522">
                  <c:v>-65.18872462835553</c:v>
                </c:pt>
                <c:pt idx="523">
                  <c:v>-65.487969016953912</c:v>
                </c:pt>
                <c:pt idx="524">
                  <c:v>-65.789490128714604</c:v>
                </c:pt>
                <c:pt idx="525">
                  <c:v>-66.09328806852389</c:v>
                </c:pt>
                <c:pt idx="526">
                  <c:v>-66.399360456408687</c:v>
                </c:pt>
                <c:pt idx="527">
                  <c:v>-66.707702444266033</c:v>
                </c:pt>
                <c:pt idx="528">
                  <c:v>-67.018306742673857</c:v>
                </c:pt>
                <c:pt idx="529">
                  <c:v>-67.331163657563906</c:v>
                </c:pt>
                <c:pt idx="530">
                  <c:v>-67.64626113645015</c:v>
                </c:pt>
                <c:pt idx="531">
                  <c:v>-67.963584823825641</c:v>
                </c:pt>
                <c:pt idx="532">
                  <c:v>-68.283118125261538</c:v>
                </c:pt>
                <c:pt idx="533">
                  <c:v>-68.604842279677044</c:v>
                </c:pt>
                <c:pt idx="534">
                  <c:v>-68.928736439181634</c:v>
                </c:pt>
                <c:pt idx="535">
                  <c:v>-69.254777755842383</c:v>
                </c:pt>
                <c:pt idx="536">
                  <c:v>-69.582941474683608</c:v>
                </c:pt>
                <c:pt idx="537">
                  <c:v>-69.913201032191026</c:v>
                </c:pt>
                <c:pt idx="538">
                  <c:v>-70.245528159567485</c:v>
                </c:pt>
                <c:pt idx="539">
                  <c:v>-70.579892989972862</c:v>
                </c:pt>
                <c:pt idx="540">
                  <c:v>-70.916264168973882</c:v>
                </c:pt>
                <c:pt idx="541">
                  <c:v>-71.254608967431977</c:v>
                </c:pt>
              </c:numCache>
            </c:numRef>
          </c:yVal>
          <c:smooth val="1"/>
          <c:extLst>
            <c:ext xmlns:c16="http://schemas.microsoft.com/office/drawing/2014/chart" uri="{C3380CC4-5D6E-409C-BE32-E72D297353CC}">
              <c16:uniqueId val="{00000000-D79D-4EDD-8124-7E4A2DA837F1}"/>
            </c:ext>
          </c:extLst>
        </c:ser>
        <c:dLbls>
          <c:showLegendKey val="0"/>
          <c:showVal val="0"/>
          <c:showCatName val="0"/>
          <c:showSerName val="0"/>
          <c:showPercent val="0"/>
          <c:showBubbleSize val="0"/>
        </c:dLbls>
        <c:axId val="175885696"/>
        <c:axId val="175887872"/>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Loop_Modeling!$BH$19:$BH$560</c:f>
              <c:numCache>
                <c:formatCode>General</c:formatCode>
                <c:ptCount val="542"/>
                <c:pt idx="0">
                  <c:v>88.554004919463168</c:v>
                </c:pt>
                <c:pt idx="1">
                  <c:v>88.520360061287946</c:v>
                </c:pt>
                <c:pt idx="2">
                  <c:v>88.48593413526865</c:v>
                </c:pt>
                <c:pt idx="3">
                  <c:v>88.450709135155478</c:v>
                </c:pt>
                <c:pt idx="4">
                  <c:v>88.414666648623566</c:v>
                </c:pt>
                <c:pt idx="5">
                  <c:v>88.377787848763717</c:v>
                </c:pt>
                <c:pt idx="6">
                  <c:v>88.340053485442297</c:v>
                </c:pt>
                <c:pt idx="7">
                  <c:v>88.301443876531664</c:v>
                </c:pt>
                <c:pt idx="8">
                  <c:v>88.261938899013657</c:v>
                </c:pt>
                <c:pt idx="9">
                  <c:v>88.221517979958264</c:v>
                </c:pt>
                <c:pt idx="10">
                  <c:v>88.1801600873805</c:v>
                </c:pt>
                <c:pt idx="11">
                  <c:v>88.137843720978935</c:v>
                </c:pt>
                <c:pt idx="12">
                  <c:v>88.094546902759376</c:v>
                </c:pt>
                <c:pt idx="13">
                  <c:v>88.05024716754879</c:v>
                </c:pt>
                <c:pt idx="14">
                  <c:v>88.004921553403804</c:v>
                </c:pt>
                <c:pt idx="15">
                  <c:v>87.958546591919642</c:v>
                </c:pt>
                <c:pt idx="16">
                  <c:v>87.911098298446348</c:v>
                </c:pt>
                <c:pt idx="17">
                  <c:v>87.862552162218293</c:v>
                </c:pt>
                <c:pt idx="18">
                  <c:v>87.812883136406143</c:v>
                </c:pt>
                <c:pt idx="19">
                  <c:v>87.762065628098824</c:v>
                </c:pt>
                <c:pt idx="20">
                  <c:v>87.710073488226143</c:v>
                </c:pt>
                <c:pt idx="21">
                  <c:v>87.656880001431915</c:v>
                </c:pt>
                <c:pt idx="22">
                  <c:v>87.602457875910034</c:v>
                </c:pt>
                <c:pt idx="23">
                  <c:v>87.546779233215631</c:v>
                </c:pt>
                <c:pt idx="24">
                  <c:v>87.489815598066059</c:v>
                </c:pt>
                <c:pt idx="25">
                  <c:v>87.431537888146764</c:v>
                </c:pt>
                <c:pt idx="26">
                  <c:v>87.371916403938926</c:v>
                </c:pt>
                <c:pt idx="27">
                  <c:v>87.310920818587235</c:v>
                </c:pt>
                <c:pt idx="28">
                  <c:v>87.24852016782765</c:v>
                </c:pt>
                <c:pt idx="29">
                  <c:v>87.184682839997095</c:v>
                </c:pt>
                <c:pt idx="30">
                  <c:v>87.119376566148091</c:v>
                </c:pt>
                <c:pt idx="31">
                  <c:v>87.052568410294384</c:v>
                </c:pt>
                <c:pt idx="32">
                  <c:v>86.984224759815049</c:v>
                </c:pt>
                <c:pt idx="33">
                  <c:v>86.914311316046238</c:v>
                </c:pt>
                <c:pt idx="34">
                  <c:v>86.842793085094058</c:v>
                </c:pt>
                <c:pt idx="35">
                  <c:v>86.769634368902189</c:v>
                </c:pt>
                <c:pt idx="36">
                  <c:v>86.694798756612556</c:v>
                </c:pt>
                <c:pt idx="37">
                  <c:v>86.618249116259008</c:v>
                </c:pt>
                <c:pt idx="38">
                  <c:v>86.539947586838011</c:v>
                </c:pt>
                <c:pt idx="39">
                  <c:v>86.459855570802191</c:v>
                </c:pt>
                <c:pt idx="40">
                  <c:v>86.377933727028477</c:v>
                </c:pt>
                <c:pt idx="41">
                  <c:v>86.294141964313184</c:v>
                </c:pt>
                <c:pt idx="42">
                  <c:v>86.208439435452973</c:v>
                </c:pt>
                <c:pt idx="43">
                  <c:v>86.12078453197357</c:v>
                </c:pt>
                <c:pt idx="44">
                  <c:v>86.031134879572008</c:v>
                </c:pt>
                <c:pt idx="45">
                  <c:v>85.939447334344337</c:v>
                </c:pt>
                <c:pt idx="46">
                  <c:v>85.845677979874225</c:v>
                </c:pt>
                <c:pt idx="47">
                  <c:v>85.749782125263863</c:v>
                </c:pt>
                <c:pt idx="48">
                  <c:v>85.651714304193575</c:v>
                </c:pt>
                <c:pt idx="49">
                  <c:v>85.551428275102666</c:v>
                </c:pt>
                <c:pt idx="50">
                  <c:v>85.448877022590452</c:v>
                </c:pt>
                <c:pt idx="51">
                  <c:v>85.34401276014141</c:v>
                </c:pt>
                <c:pt idx="52">
                  <c:v>85.236786934286712</c:v>
                </c:pt>
                <c:pt idx="53">
                  <c:v>85.127150230320879</c:v>
                </c:pt>
                <c:pt idx="54">
                  <c:v>85.015052579698306</c:v>
                </c:pt>
                <c:pt idx="55">
                  <c:v>84.900443169245321</c:v>
                </c:pt>
                <c:pt idx="56">
                  <c:v>84.78327045232723</c:v>
                </c:pt>
                <c:pt idx="57">
                  <c:v>84.663482162121909</c:v>
                </c:pt>
                <c:pt idx="58">
                  <c:v>84.541025327158238</c:v>
                </c:pt>
                <c:pt idx="59">
                  <c:v>84.415846289286279</c:v>
                </c:pt>
                <c:pt idx="60">
                  <c:v>84.287890724257821</c:v>
                </c:pt>
                <c:pt idx="61">
                  <c:v>84.157103665102042</c:v>
                </c:pt>
                <c:pt idx="62">
                  <c:v>84.02342952849466</c:v>
                </c:pt>
                <c:pt idx="63">
                  <c:v>83.886812144325646</c:v>
                </c:pt>
                <c:pt idx="64">
                  <c:v>83.747194788684141</c:v>
                </c:pt>
                <c:pt idx="65">
                  <c:v>83.604520220486592</c:v>
                </c:pt>
                <c:pt idx="66">
                  <c:v>83.458730721988658</c:v>
                </c:pt>
                <c:pt idx="67">
                  <c:v>83.309768143428045</c:v>
                </c:pt>
                <c:pt idx="68">
                  <c:v>83.157573952059877</c:v>
                </c:pt>
                <c:pt idx="69">
                  <c:v>83.00208928585603</c:v>
                </c:pt>
                <c:pt idx="70">
                  <c:v>82.843255012148262</c:v>
                </c:pt>
                <c:pt idx="71">
                  <c:v>82.681011791510812</c:v>
                </c:pt>
                <c:pt idx="72">
                  <c:v>82.515300147182415</c:v>
                </c:pt>
                <c:pt idx="73">
                  <c:v>82.346060540342222</c:v>
                </c:pt>
                <c:pt idx="74">
                  <c:v>82.173233451561686</c:v>
                </c:pt>
                <c:pt idx="75">
                  <c:v>81.996759468762662</c:v>
                </c:pt>
                <c:pt idx="76">
                  <c:v>81.816579382020933</c:v>
                </c:pt>
                <c:pt idx="77">
                  <c:v>81.632634285561792</c:v>
                </c:pt>
                <c:pt idx="78">
                  <c:v>81.444865687296485</c:v>
                </c:pt>
                <c:pt idx="79">
                  <c:v>81.253215626258907</c:v>
                </c:pt>
                <c:pt idx="80">
                  <c:v>81.057626798296795</c:v>
                </c:pt>
                <c:pt idx="81">
                  <c:v>80.858042690379548</c:v>
                </c:pt>
                <c:pt idx="82">
                  <c:v>80.654407723877767</c:v>
                </c:pt>
                <c:pt idx="83">
                  <c:v>80.446667407168661</c:v>
                </c:pt>
                <c:pt idx="84">
                  <c:v>80.234768497913691</c:v>
                </c:pt>
                <c:pt idx="85">
                  <c:v>80.018659175344382</c:v>
                </c:pt>
                <c:pt idx="86">
                  <c:v>79.798289222878381</c:v>
                </c:pt>
                <c:pt idx="87">
                  <c:v>79.573610221372917</c:v>
                </c:pt>
                <c:pt idx="88">
                  <c:v>79.344575753295018</c:v>
                </c:pt>
                <c:pt idx="89">
                  <c:v>79.111141618069226</c:v>
                </c:pt>
                <c:pt idx="90">
                  <c:v>78.873266058823816</c:v>
                </c:pt>
                <c:pt idx="91">
                  <c:v>78.630910000725038</c:v>
                </c:pt>
                <c:pt idx="92">
                  <c:v>78.384037301041801</c:v>
                </c:pt>
                <c:pt idx="93">
                  <c:v>78.132615011033707</c:v>
                </c:pt>
                <c:pt idx="94">
                  <c:v>77.876613649700914</c:v>
                </c:pt>
                <c:pt idx="95">
                  <c:v>77.616007489365145</c:v>
                </c:pt>
                <c:pt idx="96">
                  <c:v>77.350774852983832</c:v>
                </c:pt>
                <c:pt idx="97">
                  <c:v>77.080898423015995</c:v>
                </c:pt>
                <c:pt idx="98">
                  <c:v>76.806365561570217</c:v>
                </c:pt>
                <c:pt idx="99">
                  <c:v>76.527168641469402</c:v>
                </c:pt>
                <c:pt idx="100">
                  <c:v>76.243305387758753</c:v>
                </c:pt>
                <c:pt idx="101">
                  <c:v>75.954779229069302</c:v>
                </c:pt>
                <c:pt idx="102">
                  <c:v>75.661599658124587</c:v>
                </c:pt>
                <c:pt idx="103">
                  <c:v>75.363782600548006</c:v>
                </c:pt>
                <c:pt idx="104">
                  <c:v>75.06135079098118</c:v>
                </c:pt>
                <c:pt idx="105">
                  <c:v>74.754334155383233</c:v>
                </c:pt>
                <c:pt idx="106">
                  <c:v>74.4427701982152</c:v>
                </c:pt>
                <c:pt idx="107">
                  <c:v>74.12670439305802</c:v>
                </c:pt>
                <c:pt idx="108">
                  <c:v>73.806190575039025</c:v>
                </c:pt>
                <c:pt idx="109">
                  <c:v>73.48129133327312</c:v>
                </c:pt>
                <c:pt idx="110">
                  <c:v>73.152078401343957</c:v>
                </c:pt>
                <c:pt idx="111">
                  <c:v>72.818633043681231</c:v>
                </c:pt>
                <c:pt idx="112">
                  <c:v>72.481046435505434</c:v>
                </c:pt>
                <c:pt idx="113">
                  <c:v>72.139420033847784</c:v>
                </c:pt>
                <c:pt idx="114">
                  <c:v>71.793865936980083</c:v>
                </c:pt>
                <c:pt idx="115">
                  <c:v>71.444507229432887</c:v>
                </c:pt>
                <c:pt idx="116">
                  <c:v>71.091478309634411</c:v>
                </c:pt>
                <c:pt idx="117">
                  <c:v>70.734925197066175</c:v>
                </c:pt>
                <c:pt idx="118">
                  <c:v>70.375005815720797</c:v>
                </c:pt>
                <c:pt idx="119">
                  <c:v>70.011890250549158</c:v>
                </c:pt>
                <c:pt idx="120">
                  <c:v>69.645760973515507</c:v>
                </c:pt>
                <c:pt idx="121">
                  <c:v>69.276813035836128</c:v>
                </c:pt>
                <c:pt idx="122">
                  <c:v>68.90525422296767</c:v>
                </c:pt>
                <c:pt idx="123">
                  <c:v>68.531305168929876</c:v>
                </c:pt>
                <c:pt idx="124">
                  <c:v>68.155199426609201</c:v>
                </c:pt>
                <c:pt idx="125">
                  <c:v>67.777183490789156</c:v>
                </c:pt>
                <c:pt idx="126">
                  <c:v>67.397516770789537</c:v>
                </c:pt>
                <c:pt idx="127">
                  <c:v>67.016471509782249</c:v>
                </c:pt>
                <c:pt idx="128">
                  <c:v>66.634332648077503</c:v>
                </c:pt>
                <c:pt idx="129">
                  <c:v>66.251397627941159</c:v>
                </c:pt>
                <c:pt idx="130">
                  <c:v>65.867976137825551</c:v>
                </c:pt>
                <c:pt idx="131">
                  <c:v>65.484389794238325</c:v>
                </c:pt>
                <c:pt idx="132">
                  <c:v>65.10097175988605</c:v>
                </c:pt>
                <c:pt idx="133">
                  <c:v>64.71806629714456</c:v>
                </c:pt>
                <c:pt idx="134">
                  <c:v>64.336028256387124</c:v>
                </c:pt>
                <c:pt idx="135">
                  <c:v>63.955222499179143</c:v>
                </c:pt>
                <c:pt idx="136">
                  <c:v>63.576023256877171</c:v>
                </c:pt>
                <c:pt idx="137">
                  <c:v>63.198813425684854</c:v>
                </c:pt>
                <c:pt idx="138">
                  <c:v>62.823983799768996</c:v>
                </c:pt>
                <c:pt idx="139">
                  <c:v>62.451932244566322</c:v>
                </c:pt>
                <c:pt idx="140">
                  <c:v>62.083062812952754</c:v>
                </c:pt>
                <c:pt idx="141">
                  <c:v>61.717784807458976</c:v>
                </c:pt>
                <c:pt idx="142">
                  <c:v>61.35651179220833</c:v>
                </c:pt>
                <c:pt idx="143">
                  <c:v>60.999660558721359</c:v>
                </c:pt>
                <c:pt idx="144">
                  <c:v>60.64765005015267</c:v>
                </c:pt>
                <c:pt idx="145">
                  <c:v>60.300900248902636</c:v>
                </c:pt>
                <c:pt idx="146">
                  <c:v>59.959831032883272</c:v>
                </c:pt>
                <c:pt idx="147">
                  <c:v>59.624861005985373</c:v>
                </c:pt>
                <c:pt idx="148">
                  <c:v>59.296406308505716</c:v>
                </c:pt>
                <c:pt idx="149">
                  <c:v>58.974879413450239</c:v>
                </c:pt>
                <c:pt idx="150">
                  <c:v>58.660687914710195</c:v>
                </c:pt>
                <c:pt idx="151">
                  <c:v>58.354233313137968</c:v>
                </c:pt>
                <c:pt idx="152">
                  <c:v>58.055909806502086</c:v>
                </c:pt>
                <c:pt idx="153">
                  <c:v>57.766103089208343</c:v>
                </c:pt>
                <c:pt idx="154">
                  <c:v>57.485189167517547</c:v>
                </c:pt>
                <c:pt idx="155">
                  <c:v>57.213533195782347</c:v>
                </c:pt>
                <c:pt idx="156">
                  <c:v>56.951488338968559</c:v>
                </c:pt>
                <c:pt idx="157">
                  <c:v>56.699394666453159</c:v>
                </c:pt>
                <c:pt idx="158">
                  <c:v>56.457578081738703</c:v>
                </c:pt>
                <c:pt idx="159">
                  <c:v>56.226349292411548</c:v>
                </c:pt>
                <c:pt idx="160">
                  <c:v>56.006002824281261</c:v>
                </c:pt>
                <c:pt idx="161">
                  <c:v>55.796816083278159</c:v>
                </c:pt>
                <c:pt idx="162">
                  <c:v>55.599048468315559</c:v>
                </c:pt>
                <c:pt idx="163">
                  <c:v>55.412940537945204</c:v>
                </c:pt>
                <c:pt idx="164">
                  <c:v>55.238713233290511</c:v>
                </c:pt>
                <c:pt idx="165">
                  <c:v>55.07656715939423</c:v>
                </c:pt>
                <c:pt idx="166">
                  <c:v>54.926681926802914</c:v>
                </c:pt>
                <c:pt idx="167">
                  <c:v>54.789215554922862</c:v>
                </c:pt>
                <c:pt idx="168">
                  <c:v>54.664303938408949</c:v>
                </c:pt>
                <c:pt idx="169">
                  <c:v>54.552060377619782</c:v>
                </c:pt>
                <c:pt idx="170">
                  <c:v>54.452575173963936</c:v>
                </c:pt>
                <c:pt idx="171">
                  <c:v>54.365915290777259</c:v>
                </c:pt>
                <c:pt idx="172">
                  <c:v>54.292124080227786</c:v>
                </c:pt>
                <c:pt idx="173">
                  <c:v>54.231221076606666</c:v>
                </c:pt>
                <c:pt idx="174">
                  <c:v>54.183201856254485</c:v>
                </c:pt>
                <c:pt idx="175">
                  <c:v>54.148037964281798</c:v>
                </c:pt>
                <c:pt idx="176">
                  <c:v>54.125676908147355</c:v>
                </c:pt>
                <c:pt idx="177">
                  <c:v>54.116042218087252</c:v>
                </c:pt>
                <c:pt idx="178">
                  <c:v>54.119033574294079</c:v>
                </c:pt>
                <c:pt idx="179">
                  <c:v>54.134527000674304</c:v>
                </c:pt>
                <c:pt idx="180">
                  <c:v>54.162375124895796</c:v>
                </c:pt>
                <c:pt idx="181">
                  <c:v>54.202407504335639</c:v>
                </c:pt>
                <c:pt idx="182">
                  <c:v>54.254431017400371</c:v>
                </c:pt>
                <c:pt idx="183">
                  <c:v>54.318230319530265</c:v>
                </c:pt>
                <c:pt idx="184">
                  <c:v>54.3935683630177</c:v>
                </c:pt>
                <c:pt idx="185">
                  <c:v>54.480186979556152</c:v>
                </c:pt>
                <c:pt idx="186">
                  <c:v>54.577807524197247</c:v>
                </c:pt>
                <c:pt idx="187">
                  <c:v>54.686131579116115</c:v>
                </c:pt>
                <c:pt idx="188">
                  <c:v>54.804841715297478</c:v>
                </c:pt>
                <c:pt idx="189">
                  <c:v>54.933602309928396</c:v>
                </c:pt>
                <c:pt idx="190">
                  <c:v>55.072060416939976</c:v>
                </c:pt>
                <c:pt idx="191">
                  <c:v>55.219846687786429</c:v>
                </c:pt>
                <c:pt idx="192">
                  <c:v>55.376576339177205</c:v>
                </c:pt>
                <c:pt idx="193">
                  <c:v>55.54185016410463</c:v>
                </c:pt>
                <c:pt idx="194">
                  <c:v>55.715255582144998</c:v>
                </c:pt>
                <c:pt idx="195">
                  <c:v>55.896367724642126</c:v>
                </c:pt>
                <c:pt idx="196">
                  <c:v>56.084750550048447</c:v>
                </c:pt>
                <c:pt idx="197">
                  <c:v>56.279957984378271</c:v>
                </c:pt>
                <c:pt idx="198">
                  <c:v>56.481535081445863</c:v>
                </c:pt>
                <c:pt idx="199">
                  <c:v>56.689019197319915</c:v>
                </c:pt>
                <c:pt idx="200">
                  <c:v>56.901941173226646</c:v>
                </c:pt>
                <c:pt idx="201">
                  <c:v>57.119826520992945</c:v>
                </c:pt>
                <c:pt idx="202">
                  <c:v>57.342196605034744</c:v>
                </c:pt>
                <c:pt idx="203">
                  <c:v>57.568569814867416</c:v>
                </c:pt>
                <c:pt idx="204">
                  <c:v>57.79846272215805</c:v>
                </c:pt>
                <c:pt idx="205">
                  <c:v>58.031391216428673</c:v>
                </c:pt>
                <c:pt idx="206">
                  <c:v>58.266871613703366</c:v>
                </c:pt>
                <c:pt idx="207">
                  <c:v>58.504421732598686</c:v>
                </c:pt>
                <c:pt idx="208">
                  <c:v>58.743561932659269</c:v>
                </c:pt>
                <c:pt idx="209">
                  <c:v>58.98381611007224</c:v>
                </c:pt>
                <c:pt idx="210">
                  <c:v>59.22471264628858</c:v>
                </c:pt>
                <c:pt idx="211">
                  <c:v>59.465785305514771</c:v>
                </c:pt>
                <c:pt idx="212">
                  <c:v>59.706574077507561</c:v>
                </c:pt>
                <c:pt idx="213">
                  <c:v>59.946625962608259</c:v>
                </c:pt>
                <c:pt idx="214">
                  <c:v>60.18549569647498</c:v>
                </c:pt>
                <c:pt idx="215">
                  <c:v>60.422746412502725</c:v>
                </c:pt>
                <c:pt idx="216">
                  <c:v>60.657950240472815</c:v>
                </c:pt>
                <c:pt idx="217">
                  <c:v>60.890688840500211</c:v>
                </c:pt>
                <c:pt idx="218">
                  <c:v>61.12055387188969</c:v>
                </c:pt>
                <c:pt idx="219">
                  <c:v>61.347147397010069</c:v>
                </c:pt>
                <c:pt idx="220">
                  <c:v>61.570082220802128</c:v>
                </c:pt>
                <c:pt idx="221">
                  <c:v>61.788982166983146</c:v>
                </c:pt>
                <c:pt idx="222">
                  <c:v>62.003482292446002</c:v>
                </c:pt>
                <c:pt idx="223">
                  <c:v>62.213229041745258</c:v>
                </c:pt>
                <c:pt idx="224">
                  <c:v>62.41788034390256</c:v>
                </c:pt>
                <c:pt idx="225">
                  <c:v>62.617105654087446</c:v>
                </c:pt>
                <c:pt idx="226">
                  <c:v>62.810585942983252</c:v>
                </c:pt>
                <c:pt idx="227">
                  <c:v>62.998013636877531</c:v>
                </c:pt>
                <c:pt idx="228">
                  <c:v>63.179092511689774</c:v>
                </c:pt>
                <c:pt idx="229">
                  <c:v>63.353537544295008</c:v>
                </c:pt>
                <c:pt idx="230">
                  <c:v>63.521074724583563</c:v>
                </c:pt>
                <c:pt idx="231">
                  <c:v>63.68144083176972</c:v>
                </c:pt>
                <c:pt idx="232">
                  <c:v>63.834383178471704</c:v>
                </c:pt>
                <c:pt idx="233">
                  <c:v>63.979659326083684</c:v>
                </c:pt>
                <c:pt idx="234">
                  <c:v>64.117036774910048</c:v>
                </c:pt>
                <c:pt idx="235">
                  <c:v>64.246292632471821</c:v>
                </c:pt>
                <c:pt idx="236">
                  <c:v>64.367213263298581</c:v>
                </c:pt>
                <c:pt idx="237">
                  <c:v>64.479593923412352</c:v>
                </c:pt>
                <c:pt idx="238">
                  <c:v>64.583238382578315</c:v>
                </c:pt>
                <c:pt idx="239">
                  <c:v>64.677958537260949</c:v>
                </c:pt>
                <c:pt idx="240">
                  <c:v>64.76357401706673</c:v>
                </c:pt>
                <c:pt idx="241">
                  <c:v>64.839911787303734</c:v>
                </c:pt>
                <c:pt idx="242">
                  <c:v>64.9068057501174</c:v>
                </c:pt>
                <c:pt idx="243">
                  <c:v>64.964096346501577</c:v>
                </c:pt>
                <c:pt idx="244">
                  <c:v>65.011630161315708</c:v>
                </c:pt>
                <c:pt idx="245">
                  <c:v>65.049259533273911</c:v>
                </c:pt>
                <c:pt idx="246">
                  <c:v>65.076842171713949</c:v>
                </c:pt>
                <c:pt idx="247">
                  <c:v>65.09424078179417</c:v>
                </c:pt>
                <c:pt idx="248">
                  <c:v>65.101322699620439</c:v>
                </c:pt>
                <c:pt idx="249">
                  <c:v>65.097959538659666</c:v>
                </c:pt>
                <c:pt idx="250">
                  <c:v>65.084026848658894</c:v>
                </c:pt>
                <c:pt idx="251">
                  <c:v>65.059403788170073</c:v>
                </c:pt>
                <c:pt idx="252">
                  <c:v>65.023972811648363</c:v>
                </c:pt>
                <c:pt idx="253">
                  <c:v>64.977619371998415</c:v>
                </c:pt>
                <c:pt idx="254">
                  <c:v>64.920231639324555</c:v>
                </c:pt>
                <c:pt idx="255">
                  <c:v>64.851700236561527</c:v>
                </c:pt>
                <c:pt idx="256">
                  <c:v>64.771917992573862</c:v>
                </c:pt>
                <c:pt idx="257">
                  <c:v>64.680779713232354</c:v>
                </c:pt>
                <c:pt idx="258">
                  <c:v>64.578181970911274</c:v>
                </c:pt>
                <c:pt idx="259">
                  <c:v>64.464022912791691</c:v>
                </c:pt>
                <c:pt idx="260">
                  <c:v>64.338202088293571</c:v>
                </c:pt>
                <c:pt idx="261">
                  <c:v>64.200620295920231</c:v>
                </c:pt>
                <c:pt idx="262">
                  <c:v>64.051179449746172</c:v>
                </c:pt>
                <c:pt idx="263">
                  <c:v>63.88978246575325</c:v>
                </c:pt>
                <c:pt idx="264">
                  <c:v>63.716333168170259</c:v>
                </c:pt>
                <c:pt idx="265">
                  <c:v>63.530736215956509</c:v>
                </c:pt>
                <c:pt idx="266">
                  <c:v>63.33289704952869</c:v>
                </c:pt>
                <c:pt idx="267">
                  <c:v>63.122721857811271</c:v>
                </c:pt>
                <c:pt idx="268">
                  <c:v>62.90011756566232</c:v>
                </c:pt>
                <c:pt idx="269">
                  <c:v>62.664991841702104</c:v>
                </c:pt>
                <c:pt idx="270">
                  <c:v>62.417253126544765</c:v>
                </c:pt>
                <c:pt idx="271">
                  <c:v>62.156810681409674</c:v>
                </c:pt>
                <c:pt idx="272">
                  <c:v>61.883574657055455</c:v>
                </c:pt>
                <c:pt idx="273">
                  <c:v>61.597456182952222</c:v>
                </c:pt>
                <c:pt idx="274">
                  <c:v>61.298367476570135</c:v>
                </c:pt>
                <c:pt idx="275">
                  <c:v>60.98622197262074</c:v>
                </c:pt>
                <c:pt idx="276">
                  <c:v>60.660934472049398</c:v>
                </c:pt>
                <c:pt idx="277">
                  <c:v>60.322421310520831</c:v>
                </c:pt>
                <c:pt idx="278">
                  <c:v>59.970600546088001</c:v>
                </c:pt>
                <c:pt idx="279">
                  <c:v>59.605392165669983</c:v>
                </c:pt>
                <c:pt idx="280">
                  <c:v>59.226718309896597</c:v>
                </c:pt>
                <c:pt idx="281">
                  <c:v>58.834503515798531</c:v>
                </c:pt>
                <c:pt idx="282">
                  <c:v>58.428674976739984</c:v>
                </c:pt>
                <c:pt idx="283">
                  <c:v>58.009162818894325</c:v>
                </c:pt>
                <c:pt idx="284">
                  <c:v>57.575900393467073</c:v>
                </c:pt>
                <c:pt idx="285">
                  <c:v>57.128824583756455</c:v>
                </c:pt>
                <c:pt idx="286">
                  <c:v>56.667876126032283</c:v>
                </c:pt>
                <c:pt idx="287">
                  <c:v>56.192999943082789</c:v>
                </c:pt>
                <c:pt idx="288">
                  <c:v>55.704145489154648</c:v>
                </c:pt>
                <c:pt idx="289">
                  <c:v>55.201267104870837</c:v>
                </c:pt>
                <c:pt idx="290">
                  <c:v>54.68432438057156</c:v>
                </c:pt>
                <c:pt idx="291">
                  <c:v>54.153282526378156</c:v>
                </c:pt>
                <c:pt idx="292">
                  <c:v>53.608112747128523</c:v>
                </c:pt>
                <c:pt idx="293">
                  <c:v>53.048792620188571</c:v>
                </c:pt>
                <c:pt idx="294">
                  <c:v>52.475306473994543</c:v>
                </c:pt>
                <c:pt idx="295">
                  <c:v>51.887645765036019</c:v>
                </c:pt>
                <c:pt idx="296">
                  <c:v>51.285809450852973</c:v>
                </c:pt>
                <c:pt idx="297">
                  <c:v>50.669804356487028</c:v>
                </c:pt>
                <c:pt idx="298">
                  <c:v>50.039645531714527</c:v>
                </c:pt>
                <c:pt idx="299">
                  <c:v>49.395356596277338</c:v>
                </c:pt>
                <c:pt idx="300">
                  <c:v>48.736970070244467</c:v>
                </c:pt>
                <c:pt idx="301">
                  <c:v>48.064527686572546</c:v>
                </c:pt>
                <c:pt idx="302">
                  <c:v>47.37808068288534</c:v>
                </c:pt>
                <c:pt idx="303">
                  <c:v>46.677690069482665</c:v>
                </c:pt>
                <c:pt idx="304">
                  <c:v>45.963426870605005</c:v>
                </c:pt>
                <c:pt idx="305">
                  <c:v>45.235372336020262</c:v>
                </c:pt>
                <c:pt idx="306">
                  <c:v>44.493618120095363</c:v>
                </c:pt>
                <c:pt idx="307">
                  <c:v>43.738266425629874</c:v>
                </c:pt>
                <c:pt idx="308">
                  <c:v>42.969430109894525</c:v>
                </c:pt>
                <c:pt idx="309">
                  <c:v>42.187232750525425</c:v>
                </c:pt>
                <c:pt idx="310">
                  <c:v>41.391808669166608</c:v>
                </c:pt>
                <c:pt idx="311">
                  <c:v>40.583302911045131</c:v>
                </c:pt>
                <c:pt idx="312">
                  <c:v>39.761871178999137</c:v>
                </c:pt>
                <c:pt idx="313">
                  <c:v>38.92767972083638</c:v>
                </c:pt>
                <c:pt idx="314">
                  <c:v>38.080905169326158</c:v>
                </c:pt>
                <c:pt idx="315">
                  <c:v>37.22173433455356</c:v>
                </c:pt>
                <c:pt idx="316">
                  <c:v>36.350363948844389</c:v>
                </c:pt>
                <c:pt idx="317">
                  <c:v>35.46700036495929</c:v>
                </c:pt>
                <c:pt idx="318">
                  <c:v>34.571859208773056</c:v>
                </c:pt>
                <c:pt idx="319">
                  <c:v>33.665164988170524</c:v>
                </c:pt>
                <c:pt idx="320">
                  <c:v>32.747150660421276</c:v>
                </c:pt>
                <c:pt idx="321">
                  <c:v>31.818057160815997</c:v>
                </c:pt>
                <c:pt idx="322">
                  <c:v>30.878132895852097</c:v>
                </c:pt>
                <c:pt idx="323">
                  <c:v>29.927633204742076</c:v>
                </c:pt>
                <c:pt idx="324">
                  <c:v>28.966819793468495</c:v>
                </c:pt>
                <c:pt idx="325">
                  <c:v>27.995960146026462</c:v>
                </c:pt>
                <c:pt idx="326">
                  <c:v>27.01532691785739</c:v>
                </c:pt>
                <c:pt idx="327">
                  <c:v>26.025197316781114</c:v>
                </c:pt>
                <c:pt idx="328">
                  <c:v>25.025852476989865</c:v>
                </c:pt>
                <c:pt idx="329">
                  <c:v>24.017576831828315</c:v>
                </c:pt>
                <c:pt idx="330">
                  <c:v>23.000657491211481</c:v>
                </c:pt>
                <c:pt idx="331">
                  <c:v>21.975383629524735</c:v>
                </c:pt>
                <c:pt idx="332">
                  <c:v>20.942045889831466</c:v>
                </c:pt>
                <c:pt idx="333">
                  <c:v>19.900935810051518</c:v>
                </c:pt>
                <c:pt idx="334">
                  <c:v>18.852345276580387</c:v>
                </c:pt>
                <c:pt idx="335">
                  <c:v>17.796566010512397</c:v>
                </c:pt>
                <c:pt idx="336">
                  <c:v>16.733889091284588</c:v>
                </c:pt>
                <c:pt idx="337">
                  <c:v>15.664604522099735</c:v>
                </c:pt>
                <c:pt idx="338">
                  <c:v>14.589000841014133</c:v>
                </c:pt>
                <c:pt idx="339">
                  <c:v>13.507364781011045</c:v>
                </c:pt>
                <c:pt idx="340">
                  <c:v>12.419980981773737</c:v>
                </c:pt>
                <c:pt idx="341">
                  <c:v>11.327131755246091</c:v>
                </c:pt>
                <c:pt idx="342">
                  <c:v>10.229096906384449</c:v>
                </c:pt>
                <c:pt idx="343">
                  <c:v>9.1261536098265168</c:v>
                </c:pt>
                <c:pt idx="344">
                  <c:v>8.0185763424838239</c:v>
                </c:pt>
                <c:pt idx="345">
                  <c:v>6.9066368713812434</c:v>
                </c:pt>
                <c:pt idx="346">
                  <c:v>5.7906042953547914</c:v>
                </c:pt>
                <c:pt idx="347">
                  <c:v>4.6707451385624292</c:v>
                </c:pt>
                <c:pt idx="348">
                  <c:v>3.5473234930890287</c:v>
                </c:pt>
                <c:pt idx="349">
                  <c:v>2.4206012073362029</c:v>
                </c:pt>
                <c:pt idx="350">
                  <c:v>1.2908381163013469</c:v>
                </c:pt>
                <c:pt idx="351">
                  <c:v>0.15829230933411692</c:v>
                </c:pt>
                <c:pt idx="352">
                  <c:v>-0.97677956950521705</c:v>
                </c:pt>
                <c:pt idx="353">
                  <c:v>-2.1141219937722004</c:v>
                </c:pt>
                <c:pt idx="354">
                  <c:v>-3.2534802052709919</c:v>
                </c:pt>
                <c:pt idx="355">
                  <c:v>-4.3945998488746865</c:v>
                </c:pt>
                <c:pt idx="356">
                  <c:v>-5.5372265976339143</c:v>
                </c:pt>
                <c:pt idx="357">
                  <c:v>-6.6811057743736146</c:v>
                </c:pt>
                <c:pt idx="358">
                  <c:v>-7.8259819760370499</c:v>
                </c:pt>
                <c:pt idx="359">
                  <c:v>-8.9715987070132392</c:v>
                </c:pt>
                <c:pt idx="360">
                  <c:v>-10.117698027559294</c:v>
                </c:pt>
                <c:pt idx="361">
                  <c:v>-11.264020223281689</c:v>
                </c:pt>
                <c:pt idx="362">
                  <c:v>-12.410303501366382</c:v>
                </c:pt>
                <c:pt idx="363">
                  <c:v>-13.556283718946373</c:v>
                </c:pt>
                <c:pt idx="364">
                  <c:v>-14.701694148612157</c:v>
                </c:pt>
                <c:pt idx="365">
                  <c:v>-15.846265285621119</c:v>
                </c:pt>
                <c:pt idx="366">
                  <c:v>-16.989724700886892</c:v>
                </c:pt>
                <c:pt idx="367">
                  <c:v>-18.131796943265819</c:v>
                </c:pt>
                <c:pt idx="368">
                  <c:v>-19.272203494093507</c:v>
                </c:pt>
                <c:pt idx="369">
                  <c:v>-20.410662776297187</c:v>
                </c:pt>
                <c:pt idx="370">
                  <c:v>-21.546890219777069</c:v>
                </c:pt>
                <c:pt idx="371">
                  <c:v>-22.680598384088203</c:v>
                </c:pt>
                <c:pt idx="372">
                  <c:v>-23.811497138797609</c:v>
                </c:pt>
                <c:pt idx="373">
                  <c:v>-24.939293901217361</c:v>
                </c:pt>
                <c:pt idx="374">
                  <c:v>-26.063693930581422</c:v>
                </c:pt>
                <c:pt idx="375">
                  <c:v>-27.184400677089112</c:v>
                </c:pt>
                <c:pt idx="376">
                  <c:v>-28.301116183649725</c:v>
                </c:pt>
                <c:pt idx="377">
                  <c:v>-29.413541537584301</c:v>
                </c:pt>
                <c:pt idx="378">
                  <c:v>-30.521377369044306</c:v>
                </c:pt>
                <c:pt idx="379">
                  <c:v>-31.624324392423308</c:v>
                </c:pt>
                <c:pt idx="380">
                  <c:v>-32.722083986632448</c:v>
                </c:pt>
                <c:pt idx="381">
                  <c:v>-33.814358809780281</c:v>
                </c:pt>
                <c:pt idx="382">
                  <c:v>-34.900853443496544</c:v>
                </c:pt>
                <c:pt idx="383">
                  <c:v>-35.981275061946988</c:v>
                </c:pt>
                <c:pt idx="384">
                  <c:v>-37.055334120432818</c:v>
                </c:pt>
                <c:pt idx="385">
                  <c:v>-38.122745058398714</c:v>
                </c:pt>
                <c:pt idx="386">
                  <c:v>-39.18322701166862</c:v>
                </c:pt>
                <c:pt idx="387">
                  <c:v>-40.236504528777139</c:v>
                </c:pt>
                <c:pt idx="388">
                  <c:v>-41.2823082863788</c:v>
                </c:pt>
                <c:pt idx="389">
                  <c:v>-42.320375798895206</c:v>
                </c:pt>
                <c:pt idx="390">
                  <c:v>-43.350452117749846</c:v>
                </c:pt>
                <c:pt idx="391">
                  <c:v>-44.372290515818463</c:v>
                </c:pt>
                <c:pt idx="392">
                  <c:v>-45.385653152987388</c:v>
                </c:pt>
                <c:pt idx="393">
                  <c:v>-46.390311719030443</c:v>
                </c:pt>
                <c:pt idx="394">
                  <c:v>-47.386048050337948</c:v>
                </c:pt>
                <c:pt idx="395">
                  <c:v>-48.37265471736503</c:v>
                </c:pt>
                <c:pt idx="396">
                  <c:v>-49.349935580009316</c:v>
                </c:pt>
                <c:pt idx="397">
                  <c:v>-50.317706308451491</c:v>
                </c:pt>
                <c:pt idx="398">
                  <c:v>-51.275794867332813</c:v>
                </c:pt>
                <c:pt idx="399">
                  <c:v>-52.224041961439561</c:v>
                </c:pt>
                <c:pt idx="400">
                  <c:v>-53.162301441372861</c:v>
                </c:pt>
                <c:pt idx="401">
                  <c:v>-54.090440667946929</c:v>
                </c:pt>
                <c:pt idx="402">
                  <c:v>-55.008340834330809</c:v>
                </c:pt>
                <c:pt idx="403">
                  <c:v>-55.915897245163833</c:v>
                </c:pt>
                <c:pt idx="404">
                  <c:v>-56.813019552108472</c:v>
                </c:pt>
                <c:pt idx="405">
                  <c:v>-57.699631945491966</c:v>
                </c:pt>
                <c:pt idx="406">
                  <c:v>-58.575673301871326</c:v>
                </c:pt>
                <c:pt idx="407">
                  <c:v>-59.441097287526304</c:v>
                </c:pt>
                <c:pt idx="408">
                  <c:v>-60.295872418038179</c:v>
                </c:pt>
                <c:pt idx="409">
                  <c:v>-61.139982074262953</c:v>
                </c:pt>
                <c:pt idx="410">
                  <c:v>-61.973424475156946</c:v>
                </c:pt>
                <c:pt idx="411">
                  <c:v>-62.796212608050936</c:v>
                </c:pt>
                <c:pt idx="412">
                  <c:v>-63.608374117117812</c:v>
                </c:pt>
                <c:pt idx="413">
                  <c:v>-64.409951150925423</c:v>
                </c:pt>
                <c:pt idx="414">
                  <c:v>-65.201000170118419</c:v>
                </c:pt>
                <c:pt idx="415">
                  <c:v>-65.981591716433883</c:v>
                </c:pt>
                <c:pt idx="416">
                  <c:v>-66.751810144411749</c:v>
                </c:pt>
                <c:pt idx="417">
                  <c:v>-67.51175331733333</c:v>
                </c:pt>
                <c:pt idx="418">
                  <c:v>-68.261532269085322</c:v>
                </c:pt>
                <c:pt idx="419">
                  <c:v>-69.001270833821863</c:v>
                </c:pt>
                <c:pt idx="420">
                  <c:v>-69.731105245457172</c:v>
                </c:pt>
                <c:pt idx="421">
                  <c:v>-70.451183709188754</c:v>
                </c:pt>
                <c:pt idx="422">
                  <c:v>-71.161665947397466</c:v>
                </c:pt>
                <c:pt idx="423">
                  <c:v>-71.862722722416379</c:v>
                </c:pt>
                <c:pt idx="424">
                  <c:v>-72.554535338779516</c:v>
                </c:pt>
                <c:pt idx="425">
                  <c:v>-73.237295127667394</c:v>
                </c:pt>
                <c:pt idx="426">
                  <c:v>-73.911202916349879</c:v>
                </c:pt>
                <c:pt idx="427">
                  <c:v>-74.576468485472802</c:v>
                </c:pt>
                <c:pt idx="428">
                  <c:v>-75.233310017082104</c:v>
                </c:pt>
                <c:pt idx="429">
                  <c:v>-75.881953536263396</c:v>
                </c:pt>
                <c:pt idx="430">
                  <c:v>-76.522632349247814</c:v>
                </c:pt>
                <c:pt idx="431">
                  <c:v>-77.15558648078499</c:v>
                </c:pt>
                <c:pt idx="432">
                  <c:v>-77.781062113485362</c:v>
                </c:pt>
                <c:pt idx="433">
                  <c:v>-78.399311031721922</c:v>
                </c:pt>
                <c:pt idx="434">
                  <c:v>-79.010590072538818</c:v>
                </c:pt>
                <c:pt idx="435">
                  <c:v>-79.615160585846937</c:v>
                </c:pt>
                <c:pt idx="436">
                  <c:v>-80.213287906001938</c:v>
                </c:pt>
                <c:pt idx="437">
                  <c:v>-80.805240836646831</c:v>
                </c:pt>
                <c:pt idx="438">
                  <c:v>-81.391291150497594</c:v>
                </c:pt>
                <c:pt idx="439">
                  <c:v>-81.971713105499006</c:v>
                </c:pt>
                <c:pt idx="440">
                  <c:v>-82.546782978563186</c:v>
                </c:pt>
                <c:pt idx="441">
                  <c:v>-83.116778617841092</c:v>
                </c:pt>
                <c:pt idx="442">
                  <c:v>-83.681979014256868</c:v>
                </c:pt>
                <c:pt idx="443">
                  <c:v>-84.242663892777713</c:v>
                </c:pt>
                <c:pt idx="444">
                  <c:v>-84.799113323679109</c:v>
                </c:pt>
                <c:pt idx="445">
                  <c:v>-85.351607353829138</c:v>
                </c:pt>
                <c:pt idx="446">
                  <c:v>-85.900425657812562</c:v>
                </c:pt>
                <c:pt idx="447">
                  <c:v>-86.445847208514294</c:v>
                </c:pt>
                <c:pt idx="448">
                  <c:v>-86.98814996660164</c:v>
                </c:pt>
                <c:pt idx="449">
                  <c:v>-87.527610588175094</c:v>
                </c:pt>
                <c:pt idx="450">
                  <c:v>-88.064504149710714</c:v>
                </c:pt>
                <c:pt idx="451">
                  <c:v>-88.599103889283299</c:v>
                </c:pt>
                <c:pt idx="452">
                  <c:v>-89.131680962944614</c:v>
                </c:pt>
                <c:pt idx="453">
                  <c:v>-89.662504215036748</c:v>
                </c:pt>
                <c:pt idx="454">
                  <c:v>-90.19183996113658</c:v>
                </c:pt>
                <c:pt idx="455">
                  <c:v>-90.719951782270158</c:v>
                </c:pt>
                <c:pt idx="456">
                  <c:v>-91.247100328982185</c:v>
                </c:pt>
                <c:pt idx="457">
                  <c:v>-91.773543133823154</c:v>
                </c:pt>
                <c:pt idx="458">
                  <c:v>-92.299534430791738</c:v>
                </c:pt>
                <c:pt idx="459">
                  <c:v>-92.825324980272555</c:v>
                </c:pt>
                <c:pt idx="460">
                  <c:v>-93.35116189801586</c:v>
                </c:pt>
                <c:pt idx="461">
                  <c:v>-93.877288486729654</c:v>
                </c:pt>
                <c:pt idx="462">
                  <c:v>-94.403944068885195</c:v>
                </c:pt>
                <c:pt idx="463">
                  <c:v>-94.931363819380806</c:v>
                </c:pt>
                <c:pt idx="464">
                  <c:v>-95.459778596760145</c:v>
                </c:pt>
                <c:pt idx="465">
                  <c:v>-95.989414771740513</c:v>
                </c:pt>
                <c:pt idx="466">
                  <c:v>-96.520494051880945</c:v>
                </c:pt>
                <c:pt idx="467">
                  <c:v>-97.053233301288557</c:v>
                </c:pt>
                <c:pt idx="468">
                  <c:v>-97.587844354351873</c:v>
                </c:pt>
                <c:pt idx="469">
                  <c:v>-98.124533822578812</c:v>
                </c:pt>
                <c:pt idx="470">
                  <c:v>-98.663502893713186</c:v>
                </c:pt>
                <c:pt idx="471">
                  <c:v>-99.204947122411454</c:v>
                </c:pt>
                <c:pt idx="472">
                  <c:v>-99.749056211866389</c:v>
                </c:pt>
                <c:pt idx="473">
                  <c:v>-100.29601378589072</c:v>
                </c:pt>
                <c:pt idx="474">
                  <c:v>-100.84599715108864</c:v>
                </c:pt>
                <c:pt idx="475">
                  <c:v>-101.39917704887905</c:v>
                </c:pt>
                <c:pt idx="476">
                  <c:v>-101.95571739727065</c:v>
                </c:pt>
                <c:pt idx="477">
                  <c:v>-102.51577502243032</c:v>
                </c:pt>
                <c:pt idx="478">
                  <c:v>-103.07949938023913</c:v>
                </c:pt>
                <c:pt idx="479">
                  <c:v>-103.64703226818503</c:v>
                </c:pt>
                <c:pt idx="480">
                  <c:v>-104.2185075281032</c:v>
                </c:pt>
                <c:pt idx="481">
                  <c:v>-104.79405074044423</c:v>
                </c:pt>
                <c:pt idx="482">
                  <c:v>-105.37377891092503</c:v>
                </c:pt>
                <c:pt idx="483">
                  <c:v>-105.95780015058973</c:v>
                </c:pt>
                <c:pt idx="484">
                  <c:v>-106.54621335049998</c:v>
                </c:pt>
                <c:pt idx="485">
                  <c:v>-107.13910785244657</c:v>
                </c:pt>
                <c:pt idx="486">
                  <c:v>-107.73656311727021</c:v>
                </c:pt>
                <c:pt idx="487">
                  <c:v>-108.33864839256418</c:v>
                </c:pt>
                <c:pt idx="488">
                  <c:v>-108.94542238170908</c:v>
                </c:pt>
                <c:pt idx="489">
                  <c:v>-109.55693291638435</c:v>
                </c:pt>
                <c:pt idx="490">
                  <c:v>-110.17321663486617</c:v>
                </c:pt>
                <c:pt idx="491">
                  <c:v>-110.79429866859306</c:v>
                </c:pt>
                <c:pt idx="492">
                  <c:v>-111.42019233964191</c:v>
                </c:pt>
                <c:pt idx="493">
                  <c:v>-112.05089887189426</c:v>
                </c:pt>
                <c:pt idx="494">
                  <c:v>-112.68640711880344</c:v>
                </c:pt>
                <c:pt idx="495">
                  <c:v>-113.32669331078338</c:v>
                </c:pt>
                <c:pt idx="496">
                  <c:v>-113.9717208253188</c:v>
                </c:pt>
                <c:pt idx="497">
                  <c:v>-114.62143998296128</c:v>
                </c:pt>
                <c:pt idx="498">
                  <c:v>-115.27578787240293</c:v>
                </c:pt>
                <c:pt idx="499">
                  <c:v>-115.93468820781419</c:v>
                </c:pt>
                <c:pt idx="500">
                  <c:v>-116.59805122159986</c:v>
                </c:pt>
                <c:pt idx="501">
                  <c:v>-117.26577359564709</c:v>
                </c:pt>
                <c:pt idx="502">
                  <c:v>-117.93773843402323</c:v>
                </c:pt>
                <c:pt idx="503">
                  <c:v>-118.61381527992651</c:v>
                </c:pt>
                <c:pt idx="504">
                  <c:v>-119.29386017948831</c:v>
                </c:pt>
                <c:pt idx="505">
                  <c:v>-119.97771579478287</c:v>
                </c:pt>
                <c:pt idx="506">
                  <c:v>-120.66521156810879</c:v>
                </c:pt>
                <c:pt idx="507">
                  <c:v>-121.35616393928126</c:v>
                </c:pt>
                <c:pt idx="508">
                  <c:v>-122.05037661729619</c:v>
                </c:pt>
                <c:pt idx="509">
                  <c:v>-122.74764090731883</c:v>
                </c:pt>
                <c:pt idx="510">
                  <c:v>-123.44773609350791</c:v>
                </c:pt>
                <c:pt idx="511">
                  <c:v>-124.15042987770506</c:v>
                </c:pt>
                <c:pt idx="512">
                  <c:v>-124.85547887352708</c:v>
                </c:pt>
                <c:pt idx="513">
                  <c:v>-125.562629154874</c:v>
                </c:pt>
                <c:pt idx="514">
                  <c:v>-126.27161685733618</c:v>
                </c:pt>
                <c:pt idx="515">
                  <c:v>-126.98216883045782</c:v>
                </c:pt>
                <c:pt idx="516">
                  <c:v>-127.69400333826692</c:v>
                </c:pt>
                <c:pt idx="517">
                  <c:v>-128.40683080498226</c:v>
                </c:pt>
                <c:pt idx="518">
                  <c:v>-129.12035460229635</c:v>
                </c:pt>
                <c:pt idx="519">
                  <c:v>-129.83427187416535</c:v>
                </c:pt>
                <c:pt idx="520">
                  <c:v>-130.54827439461528</c:v>
                </c:pt>
                <c:pt idx="521">
                  <c:v>-131.26204945366902</c:v>
                </c:pt>
                <c:pt idx="522">
                  <c:v>-131.97528076617726</c:v>
                </c:pt>
                <c:pt idx="523">
                  <c:v>-132.68764939805246</c:v>
                </c:pt>
                <c:pt idx="524">
                  <c:v>-133.3988347041896</c:v>
                </c:pt>
                <c:pt idx="525">
                  <c:v>-134.10851527220635</c:v>
                </c:pt>
                <c:pt idx="526">
                  <c:v>-134.81636986606864</c:v>
                </c:pt>
                <c:pt idx="527">
                  <c:v>-135.52207836364849</c:v>
                </c:pt>
                <c:pt idx="528">
                  <c:v>-136.22532268232956</c:v>
                </c:pt>
                <c:pt idx="529">
                  <c:v>-136.92578768692397</c:v>
                </c:pt>
                <c:pt idx="530">
                  <c:v>-137.62316207433716</c:v>
                </c:pt>
                <c:pt idx="531">
                  <c:v>-138.31713922972611</c:v>
                </c:pt>
                <c:pt idx="532">
                  <c:v>-139.00741804917587</c:v>
                </c:pt>
                <c:pt idx="533">
                  <c:v>-139.69370372434591</c:v>
                </c:pt>
                <c:pt idx="534">
                  <c:v>-140.37570848491356</c:v>
                </c:pt>
                <c:pt idx="535">
                  <c:v>-141.05315229514602</c:v>
                </c:pt>
                <c:pt idx="536">
                  <c:v>-141.72576350139698</c:v>
                </c:pt>
                <c:pt idx="537">
                  <c:v>-142.39327942785721</c:v>
                </c:pt>
                <c:pt idx="538">
                  <c:v>-143.05544691839859</c:v>
                </c:pt>
                <c:pt idx="539">
                  <c:v>-143.71202282290184</c:v>
                </c:pt>
                <c:pt idx="540">
                  <c:v>-144.36277442697425</c:v>
                </c:pt>
                <c:pt idx="541">
                  <c:v>-145.00747982449585</c:v>
                </c:pt>
              </c:numCache>
            </c:numRef>
          </c:yVal>
          <c:smooth val="1"/>
          <c:extLst>
            <c:ext xmlns:c16="http://schemas.microsoft.com/office/drawing/2014/chart" uri="{C3380CC4-5D6E-409C-BE32-E72D297353CC}">
              <c16:uniqueId val="{00000001-D79D-4EDD-8124-7E4A2DA837F1}"/>
            </c:ext>
          </c:extLst>
        </c:ser>
        <c:dLbls>
          <c:showLegendKey val="0"/>
          <c:showVal val="0"/>
          <c:showCatName val="0"/>
          <c:showSerName val="0"/>
          <c:showPercent val="0"/>
          <c:showBubbleSize val="0"/>
        </c:dLbls>
        <c:axId val="175891584"/>
        <c:axId val="175889792"/>
      </c:scatterChart>
      <c:valAx>
        <c:axId val="17588569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5887872"/>
        <c:crosses val="autoZero"/>
        <c:crossBetween val="midCat"/>
      </c:valAx>
      <c:valAx>
        <c:axId val="17588787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75885696"/>
        <c:crosses val="autoZero"/>
        <c:crossBetween val="midCat"/>
        <c:majorUnit val="20"/>
        <c:minorUnit val="10"/>
      </c:valAx>
      <c:valAx>
        <c:axId val="1758897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5891584"/>
        <c:crosses val="max"/>
        <c:crossBetween val="midCat"/>
        <c:majorUnit val="90"/>
        <c:minorUnit val="45"/>
      </c:valAx>
      <c:valAx>
        <c:axId val="175891584"/>
        <c:scaling>
          <c:logBase val="10"/>
          <c:orientation val="minMax"/>
        </c:scaling>
        <c:delete val="1"/>
        <c:axPos val="b"/>
        <c:numFmt formatCode="0.00" sourceLinked="1"/>
        <c:majorTickMark val="out"/>
        <c:minorTickMark val="none"/>
        <c:tickLblPos val="nextTo"/>
        <c:crossAx val="175889792"/>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0-08D7-4CB3-BFF7-8A5CABBAA1A1}"/>
            </c:ext>
          </c:extLst>
        </c:ser>
        <c:dLbls>
          <c:showLegendKey val="0"/>
          <c:showVal val="0"/>
          <c:showCatName val="0"/>
          <c:showSerName val="0"/>
          <c:showPercent val="0"/>
          <c:showBubbleSize val="0"/>
        </c:dLbls>
        <c:axId val="178856704"/>
        <c:axId val="178858624"/>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1-08D7-4CB3-BFF7-8A5CABBAA1A1}"/>
            </c:ext>
          </c:extLst>
        </c:ser>
        <c:dLbls>
          <c:showLegendKey val="0"/>
          <c:showVal val="0"/>
          <c:showCatName val="0"/>
          <c:showSerName val="0"/>
          <c:showPercent val="0"/>
          <c:showBubbleSize val="0"/>
        </c:dLbls>
        <c:axId val="178862336"/>
        <c:axId val="178860800"/>
      </c:scatterChart>
      <c:valAx>
        <c:axId val="17885670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858624"/>
        <c:crosses val="autoZero"/>
        <c:crossBetween val="midCat"/>
      </c:valAx>
      <c:valAx>
        <c:axId val="17885862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8856704"/>
        <c:crosses val="autoZero"/>
        <c:crossBetween val="midCat"/>
        <c:majorUnit val="20"/>
        <c:minorUnit val="10"/>
      </c:valAx>
      <c:valAx>
        <c:axId val="178860800"/>
        <c:scaling>
          <c:orientation val="minMax"/>
          <c:max val="180"/>
          <c:min val="-180"/>
        </c:scaling>
        <c:delete val="0"/>
        <c:axPos val="r"/>
        <c:numFmt formatCode="General" sourceLinked="1"/>
        <c:majorTickMark val="out"/>
        <c:minorTickMark val="none"/>
        <c:tickLblPos val="nextTo"/>
        <c:crossAx val="178862336"/>
        <c:crosses val="max"/>
        <c:crossBetween val="midCat"/>
        <c:majorUnit val="90"/>
        <c:minorUnit val="45"/>
      </c:valAx>
      <c:valAx>
        <c:axId val="178862336"/>
        <c:scaling>
          <c:logBase val="10"/>
          <c:orientation val="minMax"/>
        </c:scaling>
        <c:delete val="1"/>
        <c:axPos val="b"/>
        <c:numFmt formatCode="0.00" sourceLinked="1"/>
        <c:majorTickMark val="out"/>
        <c:minorTickMark val="none"/>
        <c:tickLblPos val="nextTo"/>
        <c:crossAx val="178860800"/>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Loop_Modeling!$BJ$19:$BJ$560</c:f>
              <c:numCache>
                <c:formatCode>0.000</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0-AD02-4E77-BCEA-6723877BAF23}"/>
            </c:ext>
          </c:extLst>
        </c:ser>
        <c:dLbls>
          <c:showLegendKey val="0"/>
          <c:showVal val="0"/>
          <c:showCatName val="0"/>
          <c:showSerName val="0"/>
          <c:showPercent val="0"/>
          <c:showBubbleSize val="0"/>
        </c:dLbls>
        <c:axId val="178901376"/>
        <c:axId val="178903296"/>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Loop_Modeling!$BK$19:$BK$560</c:f>
              <c:numCache>
                <c:formatCode>General</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1-AD02-4E77-BCEA-6723877BAF23}"/>
            </c:ext>
          </c:extLst>
        </c:ser>
        <c:dLbls>
          <c:showLegendKey val="0"/>
          <c:showVal val="0"/>
          <c:showCatName val="0"/>
          <c:showSerName val="0"/>
          <c:showPercent val="0"/>
          <c:showBubbleSize val="0"/>
        </c:dLbls>
        <c:axId val="178915200"/>
        <c:axId val="178913664"/>
      </c:scatterChart>
      <c:valAx>
        <c:axId val="17890137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903296"/>
        <c:crosses val="autoZero"/>
        <c:crossBetween val="midCat"/>
      </c:valAx>
      <c:valAx>
        <c:axId val="17890329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78901376"/>
        <c:crosses val="autoZero"/>
        <c:crossBetween val="midCat"/>
        <c:majorUnit val="20"/>
        <c:minorUnit val="10"/>
      </c:valAx>
      <c:valAx>
        <c:axId val="17891366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8915200"/>
        <c:crosses val="max"/>
        <c:crossBetween val="midCat"/>
        <c:majorUnit val="90"/>
        <c:minorUnit val="45"/>
      </c:valAx>
      <c:valAx>
        <c:axId val="178915200"/>
        <c:scaling>
          <c:logBase val="10"/>
          <c:orientation val="minMax"/>
        </c:scaling>
        <c:delete val="1"/>
        <c:axPos val="b"/>
        <c:numFmt formatCode="0.00" sourceLinked="1"/>
        <c:majorTickMark val="out"/>
        <c:minorTickMark val="none"/>
        <c:tickLblPos val="nextTo"/>
        <c:crossAx val="178913664"/>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64.230737843148233</c:v>
                </c:pt>
                <c:pt idx="1">
                  <c:v>64.030515252986632</c:v>
                </c:pt>
                <c:pt idx="2">
                  <c:v>63.830282186891054</c:v>
                </c:pt>
                <c:pt idx="3">
                  <c:v>63.630038152534986</c:v>
                </c:pt>
                <c:pt idx="4">
                  <c:v>63.429782634523207</c:v>
                </c:pt>
                <c:pt idx="5">
                  <c:v>63.229515093316877</c:v>
                </c:pt>
                <c:pt idx="6">
                  <c:v>63.029234964110678</c:v>
                </c:pt>
                <c:pt idx="7">
                  <c:v>62.82894165565655</c:v>
                </c:pt>
                <c:pt idx="8">
                  <c:v>62.628634549035112</c:v>
                </c:pt>
                <c:pt idx="9">
                  <c:v>62.428312996369769</c:v>
                </c:pt>
                <c:pt idx="10">
                  <c:v>62.22797631948233</c:v>
                </c:pt>
                <c:pt idx="11">
                  <c:v>62.027623808487618</c:v>
                </c:pt>
                <c:pt idx="12">
                  <c:v>61.827254720322912</c:v>
                </c:pt>
                <c:pt idx="13">
                  <c:v>61.626868277211678</c:v>
                </c:pt>
                <c:pt idx="14">
                  <c:v>61.426463665056673</c:v>
                </c:pt>
                <c:pt idx="15">
                  <c:v>61.22604003176032</c:v>
                </c:pt>
                <c:pt idx="16">
                  <c:v>61.025596485469215</c:v>
                </c:pt>
                <c:pt idx="17">
                  <c:v>60.825132092738556</c:v>
                </c:pt>
                <c:pt idx="18">
                  <c:v>60.624645876615197</c:v>
                </c:pt>
                <c:pt idx="19">
                  <c:v>60.424136814632341</c:v>
                </c:pt>
                <c:pt idx="20">
                  <c:v>60.223603836716173</c:v>
                </c:pt>
                <c:pt idx="21">
                  <c:v>60.023045822997581</c:v>
                </c:pt>
                <c:pt idx="22">
                  <c:v>59.822461601526065</c:v>
                </c:pt>
                <c:pt idx="23">
                  <c:v>59.621849945882168</c:v>
                </c:pt>
                <c:pt idx="24">
                  <c:v>59.421209572683381</c:v>
                </c:pt>
                <c:pt idx="25">
                  <c:v>59.220539138979674</c:v>
                </c:pt>
                <c:pt idx="26">
                  <c:v>59.019837239533857</c:v>
                </c:pt>
                <c:pt idx="27">
                  <c:v>58.819102403982065</c:v>
                </c:pt>
                <c:pt idx="28">
                  <c:v>58.618333093869559</c:v>
                </c:pt>
                <c:pt idx="29">
                  <c:v>58.417527699557027</c:v>
                </c:pt>
                <c:pt idx="30">
                  <c:v>58.216684536991892</c:v>
                </c:pt>
                <c:pt idx="31">
                  <c:v>58.015801844339208</c:v>
                </c:pt>
                <c:pt idx="32">
                  <c:v>57.814877778467363</c:v>
                </c:pt>
                <c:pt idx="33">
                  <c:v>57.613910411282028</c:v>
                </c:pt>
                <c:pt idx="34">
                  <c:v>57.412897725903576</c:v>
                </c:pt>
                <c:pt idx="35">
                  <c:v>57.211837612680782</c:v>
                </c:pt>
                <c:pt idx="36">
                  <c:v>57.010727865036131</c:v>
                </c:pt>
                <c:pt idx="37">
                  <c:v>56.809566175135572</c:v>
                </c:pt>
                <c:pt idx="38">
                  <c:v>56.608350129376277</c:v>
                </c:pt>
                <c:pt idx="39">
                  <c:v>56.407077203687088</c:v>
                </c:pt>
                <c:pt idx="40">
                  <c:v>56.205744758633628</c:v>
                </c:pt>
                <c:pt idx="41">
                  <c:v>56.0043500343224</c:v>
                </c:pt>
                <c:pt idx="42">
                  <c:v>55.80289014509659</c:v>
                </c:pt>
                <c:pt idx="43">
                  <c:v>55.601362074016983</c:v>
                </c:pt>
                <c:pt idx="44">
                  <c:v>55.399762667121159</c:v>
                </c:pt>
                <c:pt idx="45">
                  <c:v>55.198088627453984</c:v>
                </c:pt>
                <c:pt idx="46">
                  <c:v>54.996336508861752</c:v>
                </c:pt>
                <c:pt idx="47">
                  <c:v>54.794502709544872</c:v>
                </c:pt>
                <c:pt idx="48">
                  <c:v>54.592583465359887</c:v>
                </c:pt>
                <c:pt idx="49">
                  <c:v>54.390574842866116</c:v>
                </c:pt>
                <c:pt idx="50">
                  <c:v>54.188472732109261</c:v>
                </c:pt>
                <c:pt idx="51">
                  <c:v>53.986272839134799</c:v>
                </c:pt>
                <c:pt idx="52">
                  <c:v>53.783970678227</c:v>
                </c:pt>
                <c:pt idx="53">
                  <c:v>53.581561563865478</c:v>
                </c:pt>
                <c:pt idx="54">
                  <c:v>53.379040602394014</c:v>
                </c:pt>
                <c:pt idx="55">
                  <c:v>53.176402683398017</c:v>
                </c:pt>
                <c:pt idx="56">
                  <c:v>52.973642470782771</c:v>
                </c:pt>
                <c:pt idx="57">
                  <c:v>52.770754393551243</c:v>
                </c:pt>
                <c:pt idx="58">
                  <c:v>52.567732636275515</c:v>
                </c:pt>
                <c:pt idx="59">
                  <c:v>52.36457112926027</c:v>
                </c:pt>
                <c:pt idx="60">
                  <c:v>52.161263538395431</c:v>
                </c:pt>
                <c:pt idx="61">
                  <c:v>51.957803254696763</c:v>
                </c:pt>
                <c:pt idx="62">
                  <c:v>51.75418338353478</c:v>
                </c:pt>
                <c:pt idx="63">
                  <c:v>51.550396733552503</c:v>
                </c:pt>
                <c:pt idx="64">
                  <c:v>51.346435805274936</c:v>
                </c:pt>
                <c:pt idx="65">
                  <c:v>51.142292779412799</c:v>
                </c:pt>
                <c:pt idx="66">
                  <c:v>50.93795950486804</c:v>
                </c:pt>
                <c:pt idx="67">
                  <c:v>50.733427486446566</c:v>
                </c:pt>
                <c:pt idx="68">
                  <c:v>50.528687872288216</c:v>
                </c:pt>
                <c:pt idx="69">
                  <c:v>50.3237314410256</c:v>
                </c:pt>
                <c:pt idx="70">
                  <c:v>50.118548588686018</c:v>
                </c:pt>
                <c:pt idx="71">
                  <c:v>49.913129315351497</c:v>
                </c:pt>
                <c:pt idx="72">
                  <c:v>49.707463211598828</c:v>
                </c:pt>
                <c:pt idx="73">
                  <c:v>49.501539444739883</c:v>
                </c:pt>
                <c:pt idx="74">
                  <c:v>49.295346744890473</c:v>
                </c:pt>
                <c:pt idx="75">
                  <c:v>49.088873390895095</c:v>
                </c:pt>
                <c:pt idx="76">
                  <c:v>48.882107196144162</c:v>
                </c:pt>
                <c:pt idx="77">
                  <c:v>48.67503549431931</c:v>
                </c:pt>
                <c:pt idx="78">
                  <c:v>48.467645125111183</c:v>
                </c:pt>
                <c:pt idx="79">
                  <c:v>48.25992241995629</c:v>
                </c:pt>
                <c:pt idx="80">
                  <c:v>48.051853187846632</c:v>
                </c:pt>
                <c:pt idx="81">
                  <c:v>47.843422701271223</c:v>
                </c:pt>
                <c:pt idx="82">
                  <c:v>47.634615682352347</c:v>
                </c:pt>
                <c:pt idx="83">
                  <c:v>47.425416289248908</c:v>
                </c:pt>
                <c:pt idx="84">
                  <c:v>47.215808102904695</c:v>
                </c:pt>
                <c:pt idx="85">
                  <c:v>47.005774114225147</c:v>
                </c:pt>
                <c:pt idx="86">
                  <c:v>46.79529671177437</c:v>
                </c:pt>
                <c:pt idx="87">
                  <c:v>46.584357670093809</c:v>
                </c:pt>
                <c:pt idx="88">
                  <c:v>46.372938138747386</c:v>
                </c:pt>
                <c:pt idx="89">
                  <c:v>46.161018632210613</c:v>
                </c:pt>
                <c:pt idx="90">
                  <c:v>45.948579020726257</c:v>
                </c:pt>
                <c:pt idx="91">
                  <c:v>45.735598522259764</c:v>
                </c:pt>
                <c:pt idx="92">
                  <c:v>45.522055695694512</c:v>
                </c:pt>
                <c:pt idx="93">
                  <c:v>45.307928435417381</c:v>
                </c:pt>
                <c:pt idx="94">
                  <c:v>45.093193967451271</c:v>
                </c:pt>
                <c:pt idx="95">
                  <c:v>44.877828847303014</c:v>
                </c:pt>
                <c:pt idx="96">
                  <c:v>44.661808959699201</c:v>
                </c:pt>
                <c:pt idx="97">
                  <c:v>44.445109520394169</c:v>
                </c:pt>
                <c:pt idx="98">
                  <c:v>44.227705080239097</c:v>
                </c:pt>
                <c:pt idx="99">
                  <c:v>44.009569531708891</c:v>
                </c:pt>
                <c:pt idx="100">
                  <c:v>43.790676118089571</c:v>
                </c:pt>
                <c:pt idx="101">
                  <c:v>43.570997445533628</c:v>
                </c:pt>
                <c:pt idx="102">
                  <c:v>43.350505498194863</c:v>
                </c:pt>
                <c:pt idx="103">
                  <c:v>43.129171656656013</c:v>
                </c:pt>
                <c:pt idx="104">
                  <c:v>42.906966719865096</c:v>
                </c:pt>
                <c:pt idx="105">
                  <c:v>42.683860930794594</c:v>
                </c:pt>
                <c:pt idx="106">
                  <c:v>42.459824006034353</c:v>
                </c:pt>
                <c:pt idx="107">
                  <c:v>42.234825169526154</c:v>
                </c:pt>
                <c:pt idx="108">
                  <c:v>42.008833190639535</c:v>
                </c:pt>
                <c:pt idx="109">
                  <c:v>41.78181642677788</c:v>
                </c:pt>
                <c:pt idx="110">
                  <c:v>41.553742870693746</c:v>
                </c:pt>
                <c:pt idx="111">
                  <c:v>41.32458020267449</c:v>
                </c:pt>
                <c:pt idx="112">
                  <c:v>41.094295847740618</c:v>
                </c:pt>
                <c:pt idx="113">
                  <c:v>40.862857037980035</c:v>
                </c:pt>
                <c:pt idx="114">
                  <c:v>40.630230880111704</c:v>
                </c:pt>
                <c:pt idx="115">
                  <c:v>40.396384428346707</c:v>
                </c:pt>
                <c:pt idx="116">
                  <c:v>40.1612847625805</c:v>
                </c:pt>
                <c:pt idx="117">
                  <c:v>39.924899071914425</c:v>
                </c:pt>
                <c:pt idx="118">
                  <c:v>39.687194743464879</c:v>
                </c:pt>
                <c:pt idx="119">
                  <c:v>39.448139456376474</c:v>
                </c:pt>
                <c:pt idx="120">
                  <c:v>39.207701280908445</c:v>
                </c:pt>
                <c:pt idx="121">
                  <c:v>38.965848782415492</c:v>
                </c:pt>
                <c:pt idx="122">
                  <c:v>38.722551129993725</c:v>
                </c:pt>
                <c:pt idx="123">
                  <c:v>38.47777820950752</c:v>
                </c:pt>
                <c:pt idx="124">
                  <c:v>38.231500740660593</c:v>
                </c:pt>
                <c:pt idx="125">
                  <c:v>37.983690397716273</c:v>
                </c:pt>
                <c:pt idx="126">
                  <c:v>37.734319933420714</c:v>
                </c:pt>
                <c:pt idx="127">
                  <c:v>37.483363305622255</c:v>
                </c:pt>
                <c:pt idx="128">
                  <c:v>37.230795806031189</c:v>
                </c:pt>
                <c:pt idx="129">
                  <c:v>36.97659419050914</c:v>
                </c:pt>
                <c:pt idx="130">
                  <c:v>36.720736810232069</c:v>
                </c:pt>
                <c:pt idx="131">
                  <c:v>36.463203743023385</c:v>
                </c:pt>
                <c:pt idx="132">
                  <c:v>36.203976924115935</c:v>
                </c:pt>
                <c:pt idx="133">
                  <c:v>35.943040275568386</c:v>
                </c:pt>
                <c:pt idx="134">
                  <c:v>35.680379833532491</c:v>
                </c:pt>
                <c:pt idx="135">
                  <c:v>35.415983872549099</c:v>
                </c:pt>
                <c:pt idx="136">
                  <c:v>35.149843026038646</c:v>
                </c:pt>
                <c:pt idx="137">
                  <c:v>34.881950402148874</c:v>
                </c:pt>
                <c:pt idx="138">
                  <c:v>34.612301694126934</c:v>
                </c:pt>
                <c:pt idx="139">
                  <c:v>34.34089528439894</c:v>
                </c:pt>
                <c:pt idx="140">
                  <c:v>34.067732341563257</c:v>
                </c:pt>
                <c:pt idx="141">
                  <c:v>33.792816909538004</c:v>
                </c:pt>
                <c:pt idx="142">
                  <c:v>33.516155988144021</c:v>
                </c:pt>
                <c:pt idx="143">
                  <c:v>33.237759604456386</c:v>
                </c:pt>
                <c:pt idx="144">
                  <c:v>32.957640874315935</c:v>
                </c:pt>
                <c:pt idx="145">
                  <c:v>32.675816053456387</c:v>
                </c:pt>
                <c:pt idx="146">
                  <c:v>32.392304577777473</c:v>
                </c:pt>
                <c:pt idx="147">
                  <c:v>32.107129092367046</c:v>
                </c:pt>
                <c:pt idx="148">
                  <c:v>31.820315468960942</c:v>
                </c:pt>
                <c:pt idx="149">
                  <c:v>31.531892811607314</c:v>
                </c:pt>
                <c:pt idx="150">
                  <c:v>31.241893450391665</c:v>
                </c:pt>
                <c:pt idx="151">
                  <c:v>30.950352923159819</c:v>
                </c:pt>
                <c:pt idx="152">
                  <c:v>30.657309945262167</c:v>
                </c:pt>
                <c:pt idx="153">
                  <c:v>30.362806367421264</c:v>
                </c:pt>
                <c:pt idx="154">
                  <c:v>30.066887121903179</c:v>
                </c:pt>
                <c:pt idx="155">
                  <c:v>29.769600157246387</c:v>
                </c:pt>
                <c:pt idx="156">
                  <c:v>29.470996361866057</c:v>
                </c:pt>
                <c:pt idx="157">
                  <c:v>29.17112947691362</c:v>
                </c:pt>
                <c:pt idx="158">
                  <c:v>28.870055998827219</c:v>
                </c:pt>
                <c:pt idx="159">
                  <c:v>28.567835072049519</c:v>
                </c:pt>
                <c:pt idx="160">
                  <c:v>28.264528372432231</c:v>
                </c:pt>
                <c:pt idx="161">
                  <c:v>27.960199981878205</c:v>
                </c:pt>
                <c:pt idx="162">
                  <c:v>27.654916254790159</c:v>
                </c:pt>
                <c:pt idx="163">
                  <c:v>27.348745676919563</c:v>
                </c:pt>
                <c:pt idx="164">
                  <c:v>27.041758717215082</c:v>
                </c:pt>
                <c:pt idx="165">
                  <c:v>26.734027673273456</c:v>
                </c:pt>
                <c:pt idx="166">
                  <c:v>26.425626511000516</c:v>
                </c:pt>
                <c:pt idx="167">
                  <c:v>26.116630699080361</c:v>
                </c:pt>
                <c:pt idx="168">
                  <c:v>25.807117038845817</c:v>
                </c:pt>
                <c:pt idx="169">
                  <c:v>25.497163490133129</c:v>
                </c:pt>
                <c:pt idx="170">
                  <c:v>25.18684899369017</c:v>
                </c:pt>
                <c:pt idx="171">
                  <c:v>24.876253290699868</c:v>
                </c:pt>
                <c:pt idx="172">
                  <c:v>24.565456739962904</c:v>
                </c:pt>
                <c:pt idx="173">
                  <c:v>24.254540133280326</c:v>
                </c:pt>
                <c:pt idx="174">
                  <c:v>23.94358450956037</c:v>
                </c:pt>
                <c:pt idx="175">
                  <c:v>23.632670968173972</c:v>
                </c:pt>
                <c:pt idx="176">
                  <c:v>23.321880482074434</c:v>
                </c:pt>
                <c:pt idx="177">
                  <c:v>23.011293711199382</c:v>
                </c:pt>
                <c:pt idx="178">
                  <c:v>22.700990816669766</c:v>
                </c:pt>
                <c:pt idx="179">
                  <c:v>22.391051276312453</c:v>
                </c:pt>
                <c:pt idx="180">
                  <c:v>22.081553702031496</c:v>
                </c:pt>
                <c:pt idx="181">
                  <c:v>21.772575659570371</c:v>
                </c:pt>
                <c:pt idx="182">
                  <c:v>21.464193491210921</c:v>
                </c:pt>
                <c:pt idx="183">
                  <c:v>21.156482141971949</c:v>
                </c:pt>
                <c:pt idx="184">
                  <c:v>20.84951498987985</c:v>
                </c:pt>
                <c:pt idx="185">
                  <c:v>20.543363680893385</c:v>
                </c:pt>
                <c:pt idx="186">
                  <c:v>20.238097969077032</c:v>
                </c:pt>
                <c:pt idx="187">
                  <c:v>19.933785562623758</c:v>
                </c:pt>
                <c:pt idx="188">
                  <c:v>19.630491976328585</c:v>
                </c:pt>
                <c:pt idx="189">
                  <c:v>19.328280391118604</c:v>
                </c:pt>
                <c:pt idx="190">
                  <c:v>19.027211521234925</c:v>
                </c:pt>
                <c:pt idx="191">
                  <c:v>18.727343489652338</c:v>
                </c:pt>
                <c:pt idx="192">
                  <c:v>18.428731712303801</c:v>
                </c:pt>
                <c:pt idx="193">
                  <c:v>18.131428791651196</c:v>
                </c:pt>
                <c:pt idx="194">
                  <c:v>17.835484420110749</c:v>
                </c:pt>
                <c:pt idx="195">
                  <c:v>17.54094529380253</c:v>
                </c:pt>
                <c:pt idx="196">
                  <c:v>17.247855037043884</c:v>
                </c:pt>
                <c:pt idx="197">
                  <c:v>16.956254137953092</c:v>
                </c:pt>
                <c:pt idx="198">
                  <c:v>16.666179895466399</c:v>
                </c:pt>
                <c:pt idx="199">
                  <c:v>16.377666378005177</c:v>
                </c:pt>
                <c:pt idx="200">
                  <c:v>16.090744393953937</c:v>
                </c:pt>
                <c:pt idx="201">
                  <c:v>15.805441474034295</c:v>
                </c:pt>
                <c:pt idx="202">
                  <c:v>15.521781865575663</c:v>
                </c:pt>
                <c:pt idx="203">
                  <c:v>15.239786538602617</c:v>
                </c:pt>
                <c:pt idx="204">
                  <c:v>14.959473203571573</c:v>
                </c:pt>
                <c:pt idx="205">
                  <c:v>14.680856340504494</c:v>
                </c:pt>
                <c:pt idx="206">
                  <c:v>14.403947239187293</c:v>
                </c:pt>
                <c:pt idx="207">
                  <c:v>14.128754050016632</c:v>
                </c:pt>
                <c:pt idx="208">
                  <c:v>13.855281845005132</c:v>
                </c:pt>
                <c:pt idx="209">
                  <c:v>13.583532688383981</c:v>
                </c:pt>
                <c:pt idx="210">
                  <c:v>13.313505716176088</c:v>
                </c:pt>
                <c:pt idx="211">
                  <c:v>13.045197224058713</c:v>
                </c:pt>
                <c:pt idx="212">
                  <c:v>12.778600762780865</c:v>
                </c:pt>
                <c:pt idx="213">
                  <c:v>12.513707240365726</c:v>
                </c:pt>
                <c:pt idx="214">
                  <c:v>12.250505030291759</c:v>
                </c:pt>
                <c:pt idx="215">
                  <c:v>11.988980084826961</c:v>
                </c:pt>
                <c:pt idx="216">
                  <c:v>11.729116052676996</c:v>
                </c:pt>
                <c:pt idx="217">
                  <c:v>11.470894400103166</c:v>
                </c:pt>
                <c:pt idx="218">
                  <c:v>11.214294534672467</c:v>
                </c:pt>
                <c:pt idx="219">
                  <c:v>10.959293930814502</c:v>
                </c:pt>
                <c:pt idx="220">
                  <c:v>10.705868256381281</c:v>
                </c:pt>
                <c:pt idx="221">
                  <c:v>10.453991499435634</c:v>
                </c:pt>
                <c:pt idx="222">
                  <c:v>10.203636094526709</c:v>
                </c:pt>
                <c:pt idx="223">
                  <c:v>9.9547730477534184</c:v>
                </c:pt>
                <c:pt idx="224">
                  <c:v>9.7073720599610027</c:v>
                </c:pt>
                <c:pt idx="225">
                  <c:v>9.4614016474648945</c:v>
                </c:pt>
                <c:pt idx="226">
                  <c:v>9.2168292597481241</c:v>
                </c:pt>
                <c:pt idx="227">
                  <c:v>8.973621393633394</c:v>
                </c:pt>
                <c:pt idx="228">
                  <c:v>8.7317437034837848</c:v>
                </c:pt>
                <c:pt idx="229">
                  <c:v>8.4911611070450697</c:v>
                </c:pt>
                <c:pt idx="230">
                  <c:v>8.251837886595462</c:v>
                </c:pt>
                <c:pt idx="231">
                  <c:v>8.0137377851237019</c:v>
                </c:pt>
                <c:pt idx="232">
                  <c:v>7.7768240973102545</c:v>
                </c:pt>
                <c:pt idx="233">
                  <c:v>7.541059755135807</c:v>
                </c:pt>
                <c:pt idx="234">
                  <c:v>7.3064074079910242</c:v>
                </c:pt>
                <c:pt idx="235">
                  <c:v>7.0728294972055474</c:v>
                </c:pt>
                <c:pt idx="236">
                  <c:v>6.840288324958351</c:v>
                </c:pt>
                <c:pt idx="237">
                  <c:v>6.608746117569563</c:v>
                </c:pt>
                <c:pt idx="238">
                  <c:v>6.3781650832101295</c:v>
                </c:pt>
                <c:pt idx="239">
                  <c:v>6.1485074640980972</c:v>
                </c:pt>
                <c:pt idx="240">
                  <c:v>5.9197355832787899</c:v>
                </c:pt>
                <c:pt idx="241">
                  <c:v>5.691811886112685</c:v>
                </c:pt>
                <c:pt idx="242">
                  <c:v>5.4646989766145673</c:v>
                </c:pt>
                <c:pt idx="243">
                  <c:v>5.2383596488100785</c:v>
                </c:pt>
                <c:pt idx="244">
                  <c:v>5.0127569132885785</c:v>
                </c:pt>
                <c:pt idx="245">
                  <c:v>4.7878540191459846</c:v>
                </c:pt>
                <c:pt idx="246">
                  <c:v>4.563614471521003</c:v>
                </c:pt>
                <c:pt idx="247">
                  <c:v>4.3400020449375303</c:v>
                </c:pt>
                <c:pt idx="248">
                  <c:v>4.1169807926705886</c:v>
                </c:pt>
                <c:pt idx="249">
                  <c:v>3.8945150523573133</c:v>
                </c:pt>
                <c:pt idx="250">
                  <c:v>3.6725694480780997</c:v>
                </c:pt>
                <c:pt idx="251">
                  <c:v>3.4511088891327462</c:v>
                </c:pt>
                <c:pt idx="252">
                  <c:v>3.2300985657349743</c:v>
                </c:pt>
                <c:pt idx="253">
                  <c:v>3.0095039418509066</c:v>
                </c:pt>
                <c:pt idx="254">
                  <c:v>2.7892907453995845</c:v>
                </c:pt>
                <c:pt idx="255">
                  <c:v>2.5694249560349252</c:v>
                </c:pt>
                <c:pt idx="256">
                  <c:v>2.3498727907238037</c:v>
                </c:pt>
                <c:pt idx="257">
                  <c:v>2.1306006873294998</c:v>
                </c:pt>
                <c:pt idx="258">
                  <c:v>1.9115752864074325</c:v>
                </c:pt>
                <c:pt idx="259">
                  <c:v>1.6927634114176959</c:v>
                </c:pt>
                <c:pt idx="260">
                  <c:v>1.4741320475498263</c:v>
                </c:pt>
                <c:pt idx="261">
                  <c:v>1.2556483193587344</c:v>
                </c:pt>
                <c:pt idx="262">
                  <c:v>1.0372794674005199</c:v>
                </c:pt>
                <c:pt idx="263">
                  <c:v>0.81899282405829055</c:v>
                </c:pt>
                <c:pt idx="264">
                  <c:v>0.60075578874572311</c:v>
                </c:pt>
                <c:pt idx="265">
                  <c:v>0.38253580266944442</c:v>
                </c:pt>
                <c:pt idx="266">
                  <c:v>0.16430032333589753</c:v>
                </c:pt>
                <c:pt idx="267">
                  <c:v>-5.3983201016529606E-2</c:v>
                </c:pt>
                <c:pt idx="268">
                  <c:v>-0.27234735687808348</c:v>
                </c:pt>
                <c:pt idx="269">
                  <c:v>-0.49082479063885631</c:v>
                </c:pt>
                <c:pt idx="270">
                  <c:v>-0.70944823328855722</c:v>
                </c:pt>
                <c:pt idx="271">
                  <c:v>-0.92825052445929979</c:v>
                </c:pt>
                <c:pt idx="272">
                  <c:v>-1.1472646356248049</c:v>
                </c:pt>
                <c:pt idx="273">
                  <c:v>-1.3665236922686881</c:v>
                </c:pt>
                <c:pt idx="274">
                  <c:v>-1.5860609948284048</c:v>
                </c:pt>
                <c:pt idx="275">
                  <c:v>-1.8059100382194311</c:v>
                </c:pt>
                <c:pt idx="276">
                  <c:v>-2.0261045297419278</c:v>
                </c:pt>
                <c:pt idx="277">
                  <c:v>-2.2466784051663264</c:v>
                </c:pt>
                <c:pt idx="278">
                  <c:v>-2.4676658427907308</c:v>
                </c:pt>
                <c:pt idx="279">
                  <c:v>-2.6891012752610828</c:v>
                </c:pt>
                <c:pt idx="280">
                  <c:v>-2.9110193989376714</c:v>
                </c:pt>
                <c:pt idx="281">
                  <c:v>-3.1334551805929918</c:v>
                </c:pt>
                <c:pt idx="282">
                  <c:v>-3.3564438612176621</c:v>
                </c:pt>
                <c:pt idx="283">
                  <c:v>-3.5800209567148493</c:v>
                </c:pt>
                <c:pt idx="284">
                  <c:v>-3.8042222552562692</c:v>
                </c:pt>
                <c:pt idx="285">
                  <c:v>-4.0290838110779532</c:v>
                </c:pt>
                <c:pt idx="286">
                  <c:v>-4.2546419344921382</c:v>
                </c:pt>
                <c:pt idx="287">
                  <c:v>-4.4809331778934478</c:v>
                </c:pt>
                <c:pt idx="288">
                  <c:v>-4.7079943175462597</c:v>
                </c:pt>
                <c:pt idx="289">
                  <c:v>-4.935862330939595</c:v>
                </c:pt>
                <c:pt idx="290">
                  <c:v>-5.1645743695126001</c:v>
                </c:pt>
                <c:pt idx="291">
                  <c:v>-5.3941677265562848</c:v>
                </c:pt>
                <c:pt idx="292">
                  <c:v>-5.6246798001178924</c:v>
                </c:pt>
                <c:pt idx="293">
                  <c:v>-5.8561480507462846</c:v>
                </c:pt>
                <c:pt idx="294">
                  <c:v>-6.0886099539379526</c:v>
                </c:pt>
                <c:pt idx="295">
                  <c:v>-6.3221029471662158</c:v>
                </c:pt>
                <c:pt idx="296">
                  <c:v>-6.5566643714012649</c:v>
                </c:pt>
                <c:pt idx="297">
                  <c:v>-6.7923314070591481</c:v>
                </c:pt>
                <c:pt idx="298">
                  <c:v>-7.0291410043508886</c:v>
                </c:pt>
                <c:pt idx="299">
                  <c:v>-7.2671298080379731</c:v>
                </c:pt>
                <c:pt idx="300">
                  <c:v>-7.5063340766426281</c:v>
                </c:pt>
                <c:pt idx="301">
                  <c:v>-7.7467895962020563</c:v>
                </c:pt>
                <c:pt idx="302">
                  <c:v>-7.9885315887047179</c:v>
                </c:pt>
                <c:pt idx="303">
                  <c:v>-8.2315946153927619</c:v>
                </c:pt>
                <c:pt idx="304">
                  <c:v>-8.4760124751691173</c:v>
                </c:pt>
                <c:pt idx="305">
                  <c:v>-8.7218180984003411</c:v>
                </c:pt>
                <c:pt idx="306">
                  <c:v>-8.9690434364596214</c:v>
                </c:pt>
                <c:pt idx="307">
                  <c:v>-9.2177193474131478</c:v>
                </c:pt>
                <c:pt idx="308">
                  <c:v>-9.4678754783087289</c:v>
                </c:pt>
                <c:pt idx="309">
                  <c:v>-9.7195401445782039</c:v>
                </c:pt>
                <c:pt idx="310">
                  <c:v>-9.9727402071242039</c:v>
                </c:pt>
                <c:pt idx="311">
                  <c:v>-10.227500947711171</c:v>
                </c:pt>
                <c:pt idx="312">
                  <c:v>-10.483845943330422</c:v>
                </c:pt>
                <c:pt idx="313">
                  <c:v>-10.741796940255153</c:v>
                </c:pt>
                <c:pt idx="314">
                  <c:v>-11.001373728540813</c:v>
                </c:pt>
                <c:pt idx="315">
                  <c:v>-11.262594017761572</c:v>
                </c:pt>
                <c:pt idx="316">
                  <c:v>-11.525473314803339</c:v>
                </c:pt>
                <c:pt idx="317">
                  <c:v>-11.790024804551837</c:v>
                </c:pt>
                <c:pt idx="318">
                  <c:v>-12.05625923433076</c:v>
                </c:pt>
                <c:pt idx="319">
                  <c:v>-12.32418480294718</c:v>
                </c:pt>
                <c:pt idx="320">
                  <c:v>-12.59380705519944</c:v>
                </c:pt>
                <c:pt idx="321">
                  <c:v>-12.865128782686124</c:v>
                </c:pt>
                <c:pt idx="322">
                  <c:v>-13.138149931735473</c:v>
                </c:pt>
                <c:pt idx="323">
                  <c:v>-13.412867519239448</c:v>
                </c:pt>
                <c:pt idx="324">
                  <c:v>-13.689275557138068</c:v>
                </c:pt>
                <c:pt idx="325">
                  <c:v>-13.967364986246562</c:v>
                </c:pt>
                <c:pt idx="326">
                  <c:v>-14.24712362006408</c:v>
                </c:pt>
                <c:pt idx="327">
                  <c:v>-14.528536099132426</c:v>
                </c:pt>
                <c:pt idx="328">
                  <c:v>-14.811583856447561</c:v>
                </c:pt>
                <c:pt idx="329">
                  <c:v>-15.096245094343018</c:v>
                </c:pt>
                <c:pt idx="330">
                  <c:v>-15.382494773189141</c:v>
                </c:pt>
                <c:pt idx="331">
                  <c:v>-15.670304612162413</c:v>
                </c:pt>
                <c:pt idx="332">
                  <c:v>-15.9596431022572</c:v>
                </c:pt>
                <c:pt idx="333">
                  <c:v>-16.250475531623433</c:v>
                </c:pt>
                <c:pt idx="334">
                  <c:v>-16.542764023227921</c:v>
                </c:pt>
                <c:pt idx="335">
                  <c:v>-16.836467584753848</c:v>
                </c:pt>
                <c:pt idx="336">
                  <c:v>-17.131542170573063</c:v>
                </c:pt>
                <c:pt idx="337">
                  <c:v>-17.427940755547453</c:v>
                </c:pt>
                <c:pt idx="338">
                  <c:v>-17.72561342034632</c:v>
                </c:pt>
                <c:pt idx="339">
                  <c:v>-18.024507447899335</c:v>
                </c:pt>
                <c:pt idx="340">
                  <c:v>-18.324567430547638</c:v>
                </c:pt>
                <c:pt idx="341">
                  <c:v>-18.625735387401086</c:v>
                </c:pt>
                <c:pt idx="342">
                  <c:v>-18.927950891366113</c:v>
                </c:pt>
                <c:pt idx="343">
                  <c:v>-19.231151205268365</c:v>
                </c:pt>
                <c:pt idx="344">
                  <c:v>-19.53527142646497</c:v>
                </c:pt>
                <c:pt idx="345">
                  <c:v>-19.840244639314182</c:v>
                </c:pt>
                <c:pt idx="346">
                  <c:v>-20.146002074852323</c:v>
                </c:pt>
                <c:pt idx="347">
                  <c:v>-20.452473277012579</c:v>
                </c:pt>
                <c:pt idx="348">
                  <c:v>-20.759586274714636</c:v>
                </c:pt>
                <c:pt idx="349">
                  <c:v>-21.067267759145135</c:v>
                </c:pt>
                <c:pt idx="350">
                  <c:v>-21.375443265550587</c:v>
                </c:pt>
                <c:pt idx="351">
                  <c:v>-21.684037358861733</c:v>
                </c:pt>
                <c:pt idx="352">
                  <c:v>-21.99297382247557</c:v>
                </c:pt>
                <c:pt idx="353">
                  <c:v>-22.302175849515976</c:v>
                </c:pt>
                <c:pt idx="354">
                  <c:v>-22.611566235908175</c:v>
                </c:pt>
                <c:pt idx="355">
                  <c:v>-22.921067574593266</c:v>
                </c:pt>
                <c:pt idx="356">
                  <c:v>-23.230602450220875</c:v>
                </c:pt>
                <c:pt idx="357">
                  <c:v>-23.540093633651949</c:v>
                </c:pt>
                <c:pt idx="358">
                  <c:v>-23.849464275606561</c:v>
                </c:pt>
                <c:pt idx="359">
                  <c:v>-24.158638098788114</c:v>
                </c:pt>
                <c:pt idx="360">
                  <c:v>-24.467539587812652</c:v>
                </c:pt>
                <c:pt idx="361">
                  <c:v>-24.776094176266774</c:v>
                </c:pt>
                <c:pt idx="362">
                  <c:v>-25.084228430214651</c:v>
                </c:pt>
                <c:pt idx="363">
                  <c:v>-25.391870227466686</c:v>
                </c:pt>
                <c:pt idx="364">
                  <c:v>-25.698948931920679</c:v>
                </c:pt>
                <c:pt idx="365">
                  <c:v>-26.005395562283752</c:v>
                </c:pt>
                <c:pt idx="366">
                  <c:v>-26.311142954478782</c:v>
                </c:pt>
                <c:pt idx="367">
                  <c:v>-26.616125917047434</c:v>
                </c:pt>
                <c:pt idx="368">
                  <c:v>-26.920281378863148</c:v>
                </c:pt>
                <c:pt idx="369">
                  <c:v>-27.223548528480723</c:v>
                </c:pt>
                <c:pt idx="370">
                  <c:v>-27.525868944466872</c:v>
                </c:pt>
                <c:pt idx="371">
                  <c:v>-27.827186716079137</c:v>
                </c:pt>
                <c:pt idx="372">
                  <c:v>-28.127448553687366</c:v>
                </c:pt>
                <c:pt idx="373">
                  <c:v>-28.426603888375372</c:v>
                </c:pt>
                <c:pt idx="374">
                  <c:v>-28.72460496020182</c:v>
                </c:pt>
                <c:pt idx="375">
                  <c:v>-29.021406894653758</c:v>
                </c:pt>
                <c:pt idx="376">
                  <c:v>-29.316967766888226</c:v>
                </c:pt>
                <c:pt idx="377">
                  <c:v>-29.611248653425712</c:v>
                </c:pt>
                <c:pt idx="378">
                  <c:v>-29.904213671037002</c:v>
                </c:pt>
                <c:pt idx="379">
                  <c:v>-30.195830002644939</c:v>
                </c:pt>
                <c:pt idx="380">
                  <c:v>-30.486067910156439</c:v>
                </c:pt>
                <c:pt idx="381">
                  <c:v>-30.77490073422603</c:v>
                </c:pt>
                <c:pt idx="382">
                  <c:v>-31.062304881059507</c:v>
                </c:pt>
                <c:pt idx="383">
                  <c:v>-31.348259796455935</c:v>
                </c:pt>
                <c:pt idx="384">
                  <c:v>-31.632747927393936</c:v>
                </c:pt>
                <c:pt idx="385">
                  <c:v>-31.915754671565971</c:v>
                </c:pt>
                <c:pt idx="386">
                  <c:v>-32.19726831536169</c:v>
                </c:pt>
                <c:pt idx="387">
                  <c:v>-32.477279960897846</c:v>
                </c:pt>
                <c:pt idx="388">
                  <c:v>-32.755783442783006</c:v>
                </c:pt>
                <c:pt idx="389">
                  <c:v>-33.032775235386126</c:v>
                </c:pt>
                <c:pt idx="390">
                  <c:v>-33.308254351457769</c:v>
                </c:pt>
                <c:pt idx="391">
                  <c:v>-33.582222233016985</c:v>
                </c:pt>
                <c:pt idx="392">
                  <c:v>-33.854682635477616</c:v>
                </c:pt>
                <c:pt idx="393">
                  <c:v>-34.125641506030895</c:v>
                </c:pt>
                <c:pt idx="394">
                  <c:v>-34.395106857339577</c:v>
                </c:pt>
                <c:pt idx="395">
                  <c:v>-34.663088637621911</c:v>
                </c:pt>
                <c:pt idx="396">
                  <c:v>-34.929598598210951</c:v>
                </c:pt>
                <c:pt idx="397">
                  <c:v>-35.194650159680101</c:v>
                </c:pt>
                <c:pt idx="398">
                  <c:v>-35.458258277604031</c:v>
                </c:pt>
                <c:pt idx="399">
                  <c:v>-35.720439309006167</c:v>
                </c:pt>
                <c:pt idx="400">
                  <c:v>-35.981210880498445</c:v>
                </c:pt>
                <c:pt idx="401">
                  <c:v>-36.240591759076885</c:v>
                </c:pt>
                <c:pt idx="402">
                  <c:v>-36.498601726473382</c:v>
                </c:pt>
                <c:pt idx="403">
                  <c:v>-36.755261457898371</c:v>
                </c:pt>
                <c:pt idx="404">
                  <c:v>-37.01059240593041</c:v>
                </c:pt>
                <c:pt idx="405">
                  <c:v>-37.264616690227967</c:v>
                </c:pt>
                <c:pt idx="406">
                  <c:v>-37.517356993646736</c:v>
                </c:pt>
                <c:pt idx="407">
                  <c:v>-37.768836465253806</c:v>
                </c:pt>
                <c:pt idx="408">
                  <c:v>-38.019078630634397</c:v>
                </c:pt>
                <c:pt idx="409">
                  <c:v>-38.26810730978751</c:v>
                </c:pt>
                <c:pt idx="410">
                  <c:v>-38.51594654280872</c:v>
                </c:pt>
                <c:pt idx="411">
                  <c:v>-38.762620523463745</c:v>
                </c:pt>
                <c:pt idx="412">
                  <c:v>-39.008153540662228</c:v>
                </c:pt>
                <c:pt idx="413">
                  <c:v>-39.252569927750244</c:v>
                </c:pt>
                <c:pt idx="414">
                  <c:v>-39.495894019456671</c:v>
                </c:pt>
                <c:pt idx="415">
                  <c:v>-39.738150116254324</c:v>
                </c:pt>
                <c:pt idx="416">
                  <c:v>-39.979362455820336</c:v>
                </c:pt>
                <c:pt idx="417">
                  <c:v>-40.219555191223861</c:v>
                </c:pt>
                <c:pt idx="418">
                  <c:v>-40.458752375413567</c:v>
                </c:pt>
                <c:pt idx="419">
                  <c:v>-40.696977951535985</c:v>
                </c:pt>
                <c:pt idx="420">
                  <c:v>-40.934255748577826</c:v>
                </c:pt>
                <c:pt idx="421">
                  <c:v>-41.170609481807332</c:v>
                </c:pt>
                <c:pt idx="422">
                  <c:v>-41.406062757469904</c:v>
                </c:pt>
                <c:pt idx="423">
                  <c:v>-41.640639081190258</c:v>
                </c:pt>
                <c:pt idx="424">
                  <c:v>-41.874361869538667</c:v>
                </c:pt>
                <c:pt idx="425">
                  <c:v>-42.107254464228035</c:v>
                </c:pt>
                <c:pt idx="426">
                  <c:v>-42.339340148430026</c:v>
                </c:pt>
                <c:pt idx="427">
                  <c:v>-42.570642164724639</c:v>
                </c:pt>
                <c:pt idx="428">
                  <c:v>-42.801183734229795</c:v>
                </c:pt>
                <c:pt idx="429">
                  <c:v>-43.030988076492484</c:v>
                </c:pt>
                <c:pt idx="430">
                  <c:v>-43.260078429767702</c:v>
                </c:pt>
                <c:pt idx="431">
                  <c:v>-43.488478071349867</c:v>
                </c:pt>
                <c:pt idx="432">
                  <c:v>-43.716210337669033</c:v>
                </c:pt>
                <c:pt idx="433">
                  <c:v>-43.94329864391068</c:v>
                </c:pt>
                <c:pt idx="434">
                  <c:v>-44.169766502959121</c:v>
                </c:pt>
                <c:pt idx="435">
                  <c:v>-44.395637543513075</c:v>
                </c:pt>
                <c:pt idx="436">
                  <c:v>-44.620935527262603</c:v>
                </c:pt>
                <c:pt idx="437">
                  <c:v>-44.845684365054041</c:v>
                </c:pt>
                <c:pt idx="438">
                  <c:v>-45.069908132011484</c:v>
                </c:pt>
                <c:pt idx="439">
                  <c:v>-45.293631081610172</c:v>
                </c:pt>
                <c:pt idx="440">
                  <c:v>-45.516877658733854</c:v>
                </c:pt>
                <c:pt idx="441">
                  <c:v>-45.739672511765434</c:v>
                </c:pt>
                <c:pt idx="442">
                  <c:v>-45.962040503790178</c:v>
                </c:pt>
                <c:pt idx="443">
                  <c:v>-46.18400672300038</c:v>
                </c:pt>
                <c:pt idx="444">
                  <c:v>-46.405596492408144</c:v>
                </c:pt>
                <c:pt idx="445">
                  <c:v>-46.626835378981781</c:v>
                </c:pt>
                <c:pt idx="446">
                  <c:v>-46.847749202324813</c:v>
                </c:pt>
                <c:pt idx="447">
                  <c:v>-47.068364043019514</c:v>
                </c:pt>
                <c:pt idx="448">
                  <c:v>-47.28870625075831</c:v>
                </c:pt>
                <c:pt idx="449">
                  <c:v>-47.508802452378248</c:v>
                </c:pt>
                <c:pt idx="450">
                  <c:v>-47.728679559910489</c:v>
                </c:pt>
                <c:pt idx="451">
                  <c:v>-47.948364778746082</c:v>
                </c:pt>
                <c:pt idx="452">
                  <c:v>-48.167885616011546</c:v>
                </c:pt>
                <c:pt idx="453">
                  <c:v>-48.387269889231533</c:v>
                </c:pt>
                <c:pt idx="454">
                  <c:v>-48.606545735345605</c:v>
                </c:pt>
                <c:pt idx="455">
                  <c:v>-48.825741620131417</c:v>
                </c:pt>
                <c:pt idx="456">
                  <c:v>-49.044886348069987</c:v>
                </c:pt>
                <c:pt idx="457">
                  <c:v>-49.264009072673581</c:v>
                </c:pt>
                <c:pt idx="458">
                  <c:v>-49.483139307283331</c:v>
                </c:pt>
                <c:pt idx="459">
                  <c:v>-49.702306936322024</c:v>
                </c:pt>
                <c:pt idx="460">
                  <c:v>-49.92154222697755</c:v>
                </c:pt>
                <c:pt idx="461">
                  <c:v>-50.140875841272276</c:v>
                </c:pt>
                <c:pt idx="462">
                  <c:v>-50.36033884845989</c:v>
                </c:pt>
                <c:pt idx="463">
                  <c:v>-50.579962737675011</c:v>
                </c:pt>
                <c:pt idx="464">
                  <c:v>-50.799779430745829</c:v>
                </c:pt>
                <c:pt idx="465">
                  <c:v>-51.019821295066734</c:v>
                </c:pt>
                <c:pt idx="466">
                  <c:v>-51.240121156411192</c:v>
                </c:pt>
                <c:pt idx="467">
                  <c:v>-51.46071231155473</c:v>
                </c:pt>
                <c:pt idx="468">
                  <c:v>-51.681628540562798</c:v>
                </c:pt>
                <c:pt idx="469">
                  <c:v>-51.902904118585894</c:v>
                </c:pt>
                <c:pt idx="470">
                  <c:v>-52.124573826994151</c:v>
                </c:pt>
                <c:pt idx="471">
                  <c:v>-52.346672963670969</c:v>
                </c:pt>
                <c:pt idx="472">
                  <c:v>-52.569237352275977</c:v>
                </c:pt>
                <c:pt idx="473">
                  <c:v>-52.792303350276015</c:v>
                </c:pt>
                <c:pt idx="474">
                  <c:v>-53.015907855539112</c:v>
                </c:pt>
                <c:pt idx="475">
                  <c:v>-53.2400883112713</c:v>
                </c:pt>
                <c:pt idx="476">
                  <c:v>-53.464882709075887</c:v>
                </c:pt>
                <c:pt idx="477">
                  <c:v>-53.69032958990617</c:v>
                </c:pt>
                <c:pt idx="478">
                  <c:v>-53.916468042678019</c:v>
                </c:pt>
                <c:pt idx="479">
                  <c:v>-54.143337700307313</c:v>
                </c:pt>
                <c:pt idx="480">
                  <c:v>-54.370978732934461</c:v>
                </c:pt>
                <c:pt idx="481">
                  <c:v>-54.599431838099477</c:v>
                </c:pt>
                <c:pt idx="482">
                  <c:v>-54.828738227631284</c:v>
                </c:pt>
                <c:pt idx="483">
                  <c:v>-55.058939611024257</c:v>
                </c:pt>
                <c:pt idx="484">
                  <c:v>-55.29007817507329</c:v>
                </c:pt>
                <c:pt idx="485">
                  <c:v>-55.522196559554544</c:v>
                </c:pt>
                <c:pt idx="486">
                  <c:v>-55.755337828749703</c:v>
                </c:pt>
                <c:pt idx="487">
                  <c:v>-55.989545438620674</c:v>
                </c:pt>
                <c:pt idx="488">
                  <c:v>-56.224863199465538</c:v>
                </c:pt>
                <c:pt idx="489">
                  <c:v>-56.461335233901764</c:v>
                </c:pt>
                <c:pt idx="490">
                  <c:v>-56.699005930051143</c:v>
                </c:pt>
                <c:pt idx="491">
                  <c:v>-56.937919889822112</c:v>
                </c:pt>
                <c:pt idx="492">
                  <c:v>-57.17812187222134</c:v>
                </c:pt>
                <c:pt idx="493">
                  <c:v>-57.419656731654037</c:v>
                </c:pt>
                <c:pt idx="494">
                  <c:v>-57.662569351216682</c:v>
                </c:pt>
                <c:pt idx="495">
                  <c:v>-57.906904571017968</c:v>
                </c:pt>
                <c:pt idx="496">
                  <c:v>-58.152707111614177</c:v>
                </c:pt>
                <c:pt idx="497">
                  <c:v>-58.400021492687166</c:v>
                </c:pt>
                <c:pt idx="498">
                  <c:v>-58.648891947141706</c:v>
                </c:pt>
                <c:pt idx="499">
                  <c:v>-58.899362330854146</c:v>
                </c:pt>
                <c:pt idx="500">
                  <c:v>-59.151476028348569</c:v>
                </c:pt>
                <c:pt idx="501">
                  <c:v>-59.405275854739216</c:v>
                </c:pt>
                <c:pt idx="502">
                  <c:v>-59.660803954324606</c:v>
                </c:pt>
                <c:pt idx="503">
                  <c:v>-59.918101696276523</c:v>
                </c:pt>
                <c:pt idx="504">
                  <c:v>-60.177209567916414</c:v>
                </c:pt>
                <c:pt idx="505">
                  <c:v>-60.43816706612656</c:v>
                </c:pt>
                <c:pt idx="506">
                  <c:v>-60.70101258748663</c:v>
                </c:pt>
                <c:pt idx="507">
                  <c:v>-60.965783317773514</c:v>
                </c:pt>
                <c:pt idx="508">
                  <c:v>-61.232515121502345</c:v>
                </c:pt>
                <c:pt idx="509">
                  <c:v>-61.501242432217296</c:v>
                </c:pt>
                <c:pt idx="510">
                  <c:v>-61.771998144273937</c:v>
                </c:pt>
                <c:pt idx="511">
                  <c:v>-62.044813506872273</c:v>
                </c:pt>
                <c:pt idx="512">
                  <c:v>-62.319718021112564</c:v>
                </c:pt>
                <c:pt idx="513">
                  <c:v>-62.596739340853695</c:v>
                </c:pt>
                <c:pt idx="514">
                  <c:v>-62.875903178145975</c:v>
                </c:pt>
                <c:pt idx="515">
                  <c:v>-63.157233213997664</c:v>
                </c:pt>
                <c:pt idx="516">
                  <c:v>-63.440751015213756</c:v>
                </c:pt>
                <c:pt idx="517">
                  <c:v>-63.726475958006944</c:v>
                </c:pt>
                <c:pt idx="518">
                  <c:v>-64.014425159044592</c:v>
                </c:pt>
                <c:pt idx="519">
                  <c:v>-64.304613414539432</c:v>
                </c:pt>
                <c:pt idx="520">
                  <c:v>-64.597053147933224</c:v>
                </c:pt>
                <c:pt idx="521">
                  <c:v>-64.891754366654425</c:v>
                </c:pt>
                <c:pt idx="522">
                  <c:v>-65.18872462835553</c:v>
                </c:pt>
                <c:pt idx="523">
                  <c:v>-65.487969016953912</c:v>
                </c:pt>
                <c:pt idx="524">
                  <c:v>-65.789490128714604</c:v>
                </c:pt>
                <c:pt idx="525">
                  <c:v>-66.09328806852389</c:v>
                </c:pt>
                <c:pt idx="526">
                  <c:v>-66.399360456408687</c:v>
                </c:pt>
                <c:pt idx="527">
                  <c:v>-66.707702444266033</c:v>
                </c:pt>
                <c:pt idx="528">
                  <c:v>-67.018306742673857</c:v>
                </c:pt>
                <c:pt idx="529">
                  <c:v>-67.331163657563906</c:v>
                </c:pt>
                <c:pt idx="530">
                  <c:v>-67.64626113645015</c:v>
                </c:pt>
                <c:pt idx="531">
                  <c:v>-67.963584823825641</c:v>
                </c:pt>
                <c:pt idx="532">
                  <c:v>-68.283118125261538</c:v>
                </c:pt>
                <c:pt idx="533">
                  <c:v>-68.604842279677044</c:v>
                </c:pt>
                <c:pt idx="534">
                  <c:v>-68.928736439181634</c:v>
                </c:pt>
                <c:pt idx="535">
                  <c:v>-69.254777755842383</c:v>
                </c:pt>
                <c:pt idx="536">
                  <c:v>-69.582941474683608</c:v>
                </c:pt>
                <c:pt idx="537">
                  <c:v>-69.913201032191026</c:v>
                </c:pt>
                <c:pt idx="538">
                  <c:v>-70.245528159567485</c:v>
                </c:pt>
                <c:pt idx="539">
                  <c:v>-70.579892989972862</c:v>
                </c:pt>
                <c:pt idx="540">
                  <c:v>-70.916264168973882</c:v>
                </c:pt>
                <c:pt idx="541">
                  <c:v>-71.254608967431977</c:v>
                </c:pt>
              </c:numCache>
            </c:numRef>
          </c:yVal>
          <c:smooth val="1"/>
          <c:extLst>
            <c:ext xmlns:c16="http://schemas.microsoft.com/office/drawing/2014/chart" uri="{C3380CC4-5D6E-409C-BE32-E72D297353CC}">
              <c16:uniqueId val="{00000000-60FA-41CA-AA9C-7A171A922A6D}"/>
            </c:ext>
          </c:extLst>
        </c:ser>
        <c:dLbls>
          <c:showLegendKey val="0"/>
          <c:showVal val="0"/>
          <c:showCatName val="0"/>
          <c:showSerName val="0"/>
          <c:showPercent val="0"/>
          <c:showBubbleSize val="0"/>
        </c:dLbls>
        <c:axId val="178953600"/>
        <c:axId val="17895987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88.554004919463168</c:v>
                </c:pt>
                <c:pt idx="1">
                  <c:v>88.520360061287946</c:v>
                </c:pt>
                <c:pt idx="2">
                  <c:v>88.48593413526865</c:v>
                </c:pt>
                <c:pt idx="3">
                  <c:v>88.450709135155478</c:v>
                </c:pt>
                <c:pt idx="4">
                  <c:v>88.414666648623566</c:v>
                </c:pt>
                <c:pt idx="5">
                  <c:v>88.377787848763717</c:v>
                </c:pt>
                <c:pt idx="6">
                  <c:v>88.340053485442297</c:v>
                </c:pt>
                <c:pt idx="7">
                  <c:v>88.301443876531664</c:v>
                </c:pt>
                <c:pt idx="8">
                  <c:v>88.261938899013657</c:v>
                </c:pt>
                <c:pt idx="9">
                  <c:v>88.221517979958264</c:v>
                </c:pt>
                <c:pt idx="10">
                  <c:v>88.1801600873805</c:v>
                </c:pt>
                <c:pt idx="11">
                  <c:v>88.137843720978935</c:v>
                </c:pt>
                <c:pt idx="12">
                  <c:v>88.094546902759376</c:v>
                </c:pt>
                <c:pt idx="13">
                  <c:v>88.05024716754879</c:v>
                </c:pt>
                <c:pt idx="14">
                  <c:v>88.004921553403804</c:v>
                </c:pt>
                <c:pt idx="15">
                  <c:v>87.958546591919642</c:v>
                </c:pt>
                <c:pt idx="16">
                  <c:v>87.911098298446348</c:v>
                </c:pt>
                <c:pt idx="17">
                  <c:v>87.862552162218293</c:v>
                </c:pt>
                <c:pt idx="18">
                  <c:v>87.812883136406143</c:v>
                </c:pt>
                <c:pt idx="19">
                  <c:v>87.762065628098824</c:v>
                </c:pt>
                <c:pt idx="20">
                  <c:v>87.710073488226143</c:v>
                </c:pt>
                <c:pt idx="21">
                  <c:v>87.656880001431915</c:v>
                </c:pt>
                <c:pt idx="22">
                  <c:v>87.602457875910034</c:v>
                </c:pt>
                <c:pt idx="23">
                  <c:v>87.546779233215631</c:v>
                </c:pt>
                <c:pt idx="24">
                  <c:v>87.489815598066059</c:v>
                </c:pt>
                <c:pt idx="25">
                  <c:v>87.431537888146764</c:v>
                </c:pt>
                <c:pt idx="26">
                  <c:v>87.371916403938926</c:v>
                </c:pt>
                <c:pt idx="27">
                  <c:v>87.310920818587235</c:v>
                </c:pt>
                <c:pt idx="28">
                  <c:v>87.24852016782765</c:v>
                </c:pt>
                <c:pt idx="29">
                  <c:v>87.184682839997095</c:v>
                </c:pt>
                <c:pt idx="30">
                  <c:v>87.119376566148091</c:v>
                </c:pt>
                <c:pt idx="31">
                  <c:v>87.052568410294384</c:v>
                </c:pt>
                <c:pt idx="32">
                  <c:v>86.984224759815049</c:v>
                </c:pt>
                <c:pt idx="33">
                  <c:v>86.914311316046238</c:v>
                </c:pt>
                <c:pt idx="34">
                  <c:v>86.842793085094058</c:v>
                </c:pt>
                <c:pt idx="35">
                  <c:v>86.769634368902189</c:v>
                </c:pt>
                <c:pt idx="36">
                  <c:v>86.694798756612556</c:v>
                </c:pt>
                <c:pt idx="37">
                  <c:v>86.618249116259008</c:v>
                </c:pt>
                <c:pt idx="38">
                  <c:v>86.539947586838011</c:v>
                </c:pt>
                <c:pt idx="39">
                  <c:v>86.459855570802191</c:v>
                </c:pt>
                <c:pt idx="40">
                  <c:v>86.377933727028477</c:v>
                </c:pt>
                <c:pt idx="41">
                  <c:v>86.294141964313184</c:v>
                </c:pt>
                <c:pt idx="42">
                  <c:v>86.208439435452973</c:v>
                </c:pt>
                <c:pt idx="43">
                  <c:v>86.12078453197357</c:v>
                </c:pt>
                <c:pt idx="44">
                  <c:v>86.031134879572008</c:v>
                </c:pt>
                <c:pt idx="45">
                  <c:v>85.939447334344337</c:v>
                </c:pt>
                <c:pt idx="46">
                  <c:v>85.845677979874225</c:v>
                </c:pt>
                <c:pt idx="47">
                  <c:v>85.749782125263863</c:v>
                </c:pt>
                <c:pt idx="48">
                  <c:v>85.651714304193575</c:v>
                </c:pt>
                <c:pt idx="49">
                  <c:v>85.551428275102666</c:v>
                </c:pt>
                <c:pt idx="50">
                  <c:v>85.448877022590452</c:v>
                </c:pt>
                <c:pt idx="51">
                  <c:v>85.34401276014141</c:v>
                </c:pt>
                <c:pt idx="52">
                  <c:v>85.236786934286712</c:v>
                </c:pt>
                <c:pt idx="53">
                  <c:v>85.127150230320879</c:v>
                </c:pt>
                <c:pt idx="54">
                  <c:v>85.015052579698306</c:v>
                </c:pt>
                <c:pt idx="55">
                  <c:v>84.900443169245321</c:v>
                </c:pt>
                <c:pt idx="56">
                  <c:v>84.78327045232723</c:v>
                </c:pt>
                <c:pt idx="57">
                  <c:v>84.663482162121909</c:v>
                </c:pt>
                <c:pt idx="58">
                  <c:v>84.541025327158238</c:v>
                </c:pt>
                <c:pt idx="59">
                  <c:v>84.415846289286279</c:v>
                </c:pt>
                <c:pt idx="60">
                  <c:v>84.287890724257821</c:v>
                </c:pt>
                <c:pt idx="61">
                  <c:v>84.157103665102042</c:v>
                </c:pt>
                <c:pt idx="62">
                  <c:v>84.02342952849466</c:v>
                </c:pt>
                <c:pt idx="63">
                  <c:v>83.886812144325646</c:v>
                </c:pt>
                <c:pt idx="64">
                  <c:v>83.747194788684141</c:v>
                </c:pt>
                <c:pt idx="65">
                  <c:v>83.604520220486592</c:v>
                </c:pt>
                <c:pt idx="66">
                  <c:v>83.458730721988658</c:v>
                </c:pt>
                <c:pt idx="67">
                  <c:v>83.309768143428045</c:v>
                </c:pt>
                <c:pt idx="68">
                  <c:v>83.157573952059877</c:v>
                </c:pt>
                <c:pt idx="69">
                  <c:v>83.00208928585603</c:v>
                </c:pt>
                <c:pt idx="70">
                  <c:v>82.843255012148262</c:v>
                </c:pt>
                <c:pt idx="71">
                  <c:v>82.681011791510812</c:v>
                </c:pt>
                <c:pt idx="72">
                  <c:v>82.515300147182415</c:v>
                </c:pt>
                <c:pt idx="73">
                  <c:v>82.346060540342222</c:v>
                </c:pt>
                <c:pt idx="74">
                  <c:v>82.173233451561686</c:v>
                </c:pt>
                <c:pt idx="75">
                  <c:v>81.996759468762662</c:v>
                </c:pt>
                <c:pt idx="76">
                  <c:v>81.816579382020933</c:v>
                </c:pt>
                <c:pt idx="77">
                  <c:v>81.632634285561792</c:v>
                </c:pt>
                <c:pt idx="78">
                  <c:v>81.444865687296485</c:v>
                </c:pt>
                <c:pt idx="79">
                  <c:v>81.253215626258907</c:v>
                </c:pt>
                <c:pt idx="80">
                  <c:v>81.057626798296795</c:v>
                </c:pt>
                <c:pt idx="81">
                  <c:v>80.858042690379548</c:v>
                </c:pt>
                <c:pt idx="82">
                  <c:v>80.654407723877767</c:v>
                </c:pt>
                <c:pt idx="83">
                  <c:v>80.446667407168661</c:v>
                </c:pt>
                <c:pt idx="84">
                  <c:v>80.234768497913691</c:v>
                </c:pt>
                <c:pt idx="85">
                  <c:v>80.018659175344382</c:v>
                </c:pt>
                <c:pt idx="86">
                  <c:v>79.798289222878381</c:v>
                </c:pt>
                <c:pt idx="87">
                  <c:v>79.573610221372917</c:v>
                </c:pt>
                <c:pt idx="88">
                  <c:v>79.344575753295018</c:v>
                </c:pt>
                <c:pt idx="89">
                  <c:v>79.111141618069226</c:v>
                </c:pt>
                <c:pt idx="90">
                  <c:v>78.873266058823816</c:v>
                </c:pt>
                <c:pt idx="91">
                  <c:v>78.630910000725038</c:v>
                </c:pt>
                <c:pt idx="92">
                  <c:v>78.384037301041801</c:v>
                </c:pt>
                <c:pt idx="93">
                  <c:v>78.132615011033707</c:v>
                </c:pt>
                <c:pt idx="94">
                  <c:v>77.876613649700914</c:v>
                </c:pt>
                <c:pt idx="95">
                  <c:v>77.616007489365145</c:v>
                </c:pt>
                <c:pt idx="96">
                  <c:v>77.350774852983832</c:v>
                </c:pt>
                <c:pt idx="97">
                  <c:v>77.080898423015995</c:v>
                </c:pt>
                <c:pt idx="98">
                  <c:v>76.806365561570217</c:v>
                </c:pt>
                <c:pt idx="99">
                  <c:v>76.527168641469402</c:v>
                </c:pt>
                <c:pt idx="100">
                  <c:v>76.243305387758753</c:v>
                </c:pt>
                <c:pt idx="101">
                  <c:v>75.954779229069302</c:v>
                </c:pt>
                <c:pt idx="102">
                  <c:v>75.661599658124587</c:v>
                </c:pt>
                <c:pt idx="103">
                  <c:v>75.363782600548006</c:v>
                </c:pt>
                <c:pt idx="104">
                  <c:v>75.06135079098118</c:v>
                </c:pt>
                <c:pt idx="105">
                  <c:v>74.754334155383233</c:v>
                </c:pt>
                <c:pt idx="106">
                  <c:v>74.4427701982152</c:v>
                </c:pt>
                <c:pt idx="107">
                  <c:v>74.12670439305802</c:v>
                </c:pt>
                <c:pt idx="108">
                  <c:v>73.806190575039025</c:v>
                </c:pt>
                <c:pt idx="109">
                  <c:v>73.48129133327312</c:v>
                </c:pt>
                <c:pt idx="110">
                  <c:v>73.152078401343957</c:v>
                </c:pt>
                <c:pt idx="111">
                  <c:v>72.818633043681231</c:v>
                </c:pt>
                <c:pt idx="112">
                  <c:v>72.481046435505434</c:v>
                </c:pt>
                <c:pt idx="113">
                  <c:v>72.139420033847784</c:v>
                </c:pt>
                <c:pt idx="114">
                  <c:v>71.793865936980083</c:v>
                </c:pt>
                <c:pt idx="115">
                  <c:v>71.444507229432887</c:v>
                </c:pt>
                <c:pt idx="116">
                  <c:v>71.091478309634411</c:v>
                </c:pt>
                <c:pt idx="117">
                  <c:v>70.734925197066175</c:v>
                </c:pt>
                <c:pt idx="118">
                  <c:v>70.375005815720797</c:v>
                </c:pt>
                <c:pt idx="119">
                  <c:v>70.011890250549158</c:v>
                </c:pt>
                <c:pt idx="120">
                  <c:v>69.645760973515507</c:v>
                </c:pt>
                <c:pt idx="121">
                  <c:v>69.276813035836128</c:v>
                </c:pt>
                <c:pt idx="122">
                  <c:v>68.90525422296767</c:v>
                </c:pt>
                <c:pt idx="123">
                  <c:v>68.531305168929876</c:v>
                </c:pt>
                <c:pt idx="124">
                  <c:v>68.155199426609201</c:v>
                </c:pt>
                <c:pt idx="125">
                  <c:v>67.777183490789156</c:v>
                </c:pt>
                <c:pt idx="126">
                  <c:v>67.397516770789537</c:v>
                </c:pt>
                <c:pt idx="127">
                  <c:v>67.016471509782249</c:v>
                </c:pt>
                <c:pt idx="128">
                  <c:v>66.634332648077503</c:v>
                </c:pt>
                <c:pt idx="129">
                  <c:v>66.251397627941159</c:v>
                </c:pt>
                <c:pt idx="130">
                  <c:v>65.867976137825551</c:v>
                </c:pt>
                <c:pt idx="131">
                  <c:v>65.484389794238325</c:v>
                </c:pt>
                <c:pt idx="132">
                  <c:v>65.10097175988605</c:v>
                </c:pt>
                <c:pt idx="133">
                  <c:v>64.71806629714456</c:v>
                </c:pt>
                <c:pt idx="134">
                  <c:v>64.336028256387124</c:v>
                </c:pt>
                <c:pt idx="135">
                  <c:v>63.955222499179143</c:v>
                </c:pt>
                <c:pt idx="136">
                  <c:v>63.576023256877171</c:v>
                </c:pt>
                <c:pt idx="137">
                  <c:v>63.198813425684854</c:v>
                </c:pt>
                <c:pt idx="138">
                  <c:v>62.823983799768996</c:v>
                </c:pt>
                <c:pt idx="139">
                  <c:v>62.451932244566322</c:v>
                </c:pt>
                <c:pt idx="140">
                  <c:v>62.083062812952754</c:v>
                </c:pt>
                <c:pt idx="141">
                  <c:v>61.717784807458976</c:v>
                </c:pt>
                <c:pt idx="142">
                  <c:v>61.35651179220833</c:v>
                </c:pt>
                <c:pt idx="143">
                  <c:v>60.999660558721359</c:v>
                </c:pt>
                <c:pt idx="144">
                  <c:v>60.64765005015267</c:v>
                </c:pt>
                <c:pt idx="145">
                  <c:v>60.300900248902636</c:v>
                </c:pt>
                <c:pt idx="146">
                  <c:v>59.959831032883272</c:v>
                </c:pt>
                <c:pt idx="147">
                  <c:v>59.624861005985373</c:v>
                </c:pt>
                <c:pt idx="148">
                  <c:v>59.296406308505716</c:v>
                </c:pt>
                <c:pt idx="149">
                  <c:v>58.974879413450239</c:v>
                </c:pt>
                <c:pt idx="150">
                  <c:v>58.660687914710195</c:v>
                </c:pt>
                <c:pt idx="151">
                  <c:v>58.354233313137968</c:v>
                </c:pt>
                <c:pt idx="152">
                  <c:v>58.055909806502086</c:v>
                </c:pt>
                <c:pt idx="153">
                  <c:v>57.766103089208343</c:v>
                </c:pt>
                <c:pt idx="154">
                  <c:v>57.485189167517547</c:v>
                </c:pt>
                <c:pt idx="155">
                  <c:v>57.213533195782347</c:v>
                </c:pt>
                <c:pt idx="156">
                  <c:v>56.951488338968559</c:v>
                </c:pt>
                <c:pt idx="157">
                  <c:v>56.699394666453159</c:v>
                </c:pt>
                <c:pt idx="158">
                  <c:v>56.457578081738703</c:v>
                </c:pt>
                <c:pt idx="159">
                  <c:v>56.226349292411548</c:v>
                </c:pt>
                <c:pt idx="160">
                  <c:v>56.006002824281261</c:v>
                </c:pt>
                <c:pt idx="161">
                  <c:v>55.796816083278159</c:v>
                </c:pt>
                <c:pt idx="162">
                  <c:v>55.599048468315559</c:v>
                </c:pt>
                <c:pt idx="163">
                  <c:v>55.412940537945204</c:v>
                </c:pt>
                <c:pt idx="164">
                  <c:v>55.238713233290511</c:v>
                </c:pt>
                <c:pt idx="165">
                  <c:v>55.07656715939423</c:v>
                </c:pt>
                <c:pt idx="166">
                  <c:v>54.926681926802914</c:v>
                </c:pt>
                <c:pt idx="167">
                  <c:v>54.789215554922862</c:v>
                </c:pt>
                <c:pt idx="168">
                  <c:v>54.664303938408949</c:v>
                </c:pt>
                <c:pt idx="169">
                  <c:v>54.552060377619782</c:v>
                </c:pt>
                <c:pt idx="170">
                  <c:v>54.452575173963936</c:v>
                </c:pt>
                <c:pt idx="171">
                  <c:v>54.365915290777259</c:v>
                </c:pt>
                <c:pt idx="172">
                  <c:v>54.292124080227786</c:v>
                </c:pt>
                <c:pt idx="173">
                  <c:v>54.231221076606666</c:v>
                </c:pt>
                <c:pt idx="174">
                  <c:v>54.183201856254485</c:v>
                </c:pt>
                <c:pt idx="175">
                  <c:v>54.148037964281798</c:v>
                </c:pt>
                <c:pt idx="176">
                  <c:v>54.125676908147355</c:v>
                </c:pt>
                <c:pt idx="177">
                  <c:v>54.116042218087252</c:v>
                </c:pt>
                <c:pt idx="178">
                  <c:v>54.119033574294079</c:v>
                </c:pt>
                <c:pt idx="179">
                  <c:v>54.134527000674304</c:v>
                </c:pt>
                <c:pt idx="180">
                  <c:v>54.162375124895796</c:v>
                </c:pt>
                <c:pt idx="181">
                  <c:v>54.202407504335639</c:v>
                </c:pt>
                <c:pt idx="182">
                  <c:v>54.254431017400371</c:v>
                </c:pt>
                <c:pt idx="183">
                  <c:v>54.318230319530265</c:v>
                </c:pt>
                <c:pt idx="184">
                  <c:v>54.3935683630177</c:v>
                </c:pt>
                <c:pt idx="185">
                  <c:v>54.480186979556152</c:v>
                </c:pt>
                <c:pt idx="186">
                  <c:v>54.577807524197247</c:v>
                </c:pt>
                <c:pt idx="187">
                  <c:v>54.686131579116115</c:v>
                </c:pt>
                <c:pt idx="188">
                  <c:v>54.804841715297478</c:v>
                </c:pt>
                <c:pt idx="189">
                  <c:v>54.933602309928396</c:v>
                </c:pt>
                <c:pt idx="190">
                  <c:v>55.072060416939976</c:v>
                </c:pt>
                <c:pt idx="191">
                  <c:v>55.219846687786429</c:v>
                </c:pt>
                <c:pt idx="192">
                  <c:v>55.376576339177205</c:v>
                </c:pt>
                <c:pt idx="193">
                  <c:v>55.54185016410463</c:v>
                </c:pt>
                <c:pt idx="194">
                  <c:v>55.715255582144998</c:v>
                </c:pt>
                <c:pt idx="195">
                  <c:v>55.896367724642126</c:v>
                </c:pt>
                <c:pt idx="196">
                  <c:v>56.084750550048447</c:v>
                </c:pt>
                <c:pt idx="197">
                  <c:v>56.279957984378271</c:v>
                </c:pt>
                <c:pt idx="198">
                  <c:v>56.481535081445863</c:v>
                </c:pt>
                <c:pt idx="199">
                  <c:v>56.689019197319915</c:v>
                </c:pt>
                <c:pt idx="200">
                  <c:v>56.901941173226646</c:v>
                </c:pt>
                <c:pt idx="201">
                  <c:v>57.119826520992945</c:v>
                </c:pt>
                <c:pt idx="202">
                  <c:v>57.342196605034744</c:v>
                </c:pt>
                <c:pt idx="203">
                  <c:v>57.568569814867416</c:v>
                </c:pt>
                <c:pt idx="204">
                  <c:v>57.79846272215805</c:v>
                </c:pt>
                <c:pt idx="205">
                  <c:v>58.031391216428673</c:v>
                </c:pt>
                <c:pt idx="206">
                  <c:v>58.266871613703366</c:v>
                </c:pt>
                <c:pt idx="207">
                  <c:v>58.504421732598686</c:v>
                </c:pt>
                <c:pt idx="208">
                  <c:v>58.743561932659269</c:v>
                </c:pt>
                <c:pt idx="209">
                  <c:v>58.98381611007224</c:v>
                </c:pt>
                <c:pt idx="210">
                  <c:v>59.22471264628858</c:v>
                </c:pt>
                <c:pt idx="211">
                  <c:v>59.465785305514771</c:v>
                </c:pt>
                <c:pt idx="212">
                  <c:v>59.706574077507561</c:v>
                </c:pt>
                <c:pt idx="213">
                  <c:v>59.946625962608259</c:v>
                </c:pt>
                <c:pt idx="214">
                  <c:v>60.18549569647498</c:v>
                </c:pt>
                <c:pt idx="215">
                  <c:v>60.422746412502725</c:v>
                </c:pt>
                <c:pt idx="216">
                  <c:v>60.657950240472815</c:v>
                </c:pt>
                <c:pt idx="217">
                  <c:v>60.890688840500211</c:v>
                </c:pt>
                <c:pt idx="218">
                  <c:v>61.12055387188969</c:v>
                </c:pt>
                <c:pt idx="219">
                  <c:v>61.347147397010069</c:v>
                </c:pt>
                <c:pt idx="220">
                  <c:v>61.570082220802128</c:v>
                </c:pt>
                <c:pt idx="221">
                  <c:v>61.788982166983146</c:v>
                </c:pt>
                <c:pt idx="222">
                  <c:v>62.003482292446002</c:v>
                </c:pt>
                <c:pt idx="223">
                  <c:v>62.213229041745258</c:v>
                </c:pt>
                <c:pt idx="224">
                  <c:v>62.41788034390256</c:v>
                </c:pt>
                <c:pt idx="225">
                  <c:v>62.617105654087446</c:v>
                </c:pt>
                <c:pt idx="226">
                  <c:v>62.810585942983252</c:v>
                </c:pt>
                <c:pt idx="227">
                  <c:v>62.998013636877531</c:v>
                </c:pt>
                <c:pt idx="228">
                  <c:v>63.179092511689774</c:v>
                </c:pt>
                <c:pt idx="229">
                  <c:v>63.353537544295008</c:v>
                </c:pt>
                <c:pt idx="230">
                  <c:v>63.521074724583563</c:v>
                </c:pt>
                <c:pt idx="231">
                  <c:v>63.68144083176972</c:v>
                </c:pt>
                <c:pt idx="232">
                  <c:v>63.834383178471704</c:v>
                </c:pt>
                <c:pt idx="233">
                  <c:v>63.979659326083684</c:v>
                </c:pt>
                <c:pt idx="234">
                  <c:v>64.117036774910048</c:v>
                </c:pt>
                <c:pt idx="235">
                  <c:v>64.246292632471821</c:v>
                </c:pt>
                <c:pt idx="236">
                  <c:v>64.367213263298581</c:v>
                </c:pt>
                <c:pt idx="237">
                  <c:v>64.479593923412352</c:v>
                </c:pt>
                <c:pt idx="238">
                  <c:v>64.583238382578315</c:v>
                </c:pt>
                <c:pt idx="239">
                  <c:v>64.677958537260949</c:v>
                </c:pt>
                <c:pt idx="240">
                  <c:v>64.76357401706673</c:v>
                </c:pt>
                <c:pt idx="241">
                  <c:v>64.839911787303734</c:v>
                </c:pt>
                <c:pt idx="242">
                  <c:v>64.9068057501174</c:v>
                </c:pt>
                <c:pt idx="243">
                  <c:v>64.964096346501577</c:v>
                </c:pt>
                <c:pt idx="244">
                  <c:v>65.011630161315708</c:v>
                </c:pt>
                <c:pt idx="245">
                  <c:v>65.049259533273911</c:v>
                </c:pt>
                <c:pt idx="246">
                  <c:v>65.076842171713949</c:v>
                </c:pt>
                <c:pt idx="247">
                  <c:v>65.09424078179417</c:v>
                </c:pt>
                <c:pt idx="248">
                  <c:v>65.101322699620439</c:v>
                </c:pt>
                <c:pt idx="249">
                  <c:v>65.097959538659666</c:v>
                </c:pt>
                <c:pt idx="250">
                  <c:v>65.084026848658894</c:v>
                </c:pt>
                <c:pt idx="251">
                  <c:v>65.059403788170073</c:v>
                </c:pt>
                <c:pt idx="252">
                  <c:v>65.023972811648363</c:v>
                </c:pt>
                <c:pt idx="253">
                  <c:v>64.977619371998415</c:v>
                </c:pt>
                <c:pt idx="254">
                  <c:v>64.920231639324555</c:v>
                </c:pt>
                <c:pt idx="255">
                  <c:v>64.851700236561527</c:v>
                </c:pt>
                <c:pt idx="256">
                  <c:v>64.771917992573862</c:v>
                </c:pt>
                <c:pt idx="257">
                  <c:v>64.680779713232354</c:v>
                </c:pt>
                <c:pt idx="258">
                  <c:v>64.578181970911274</c:v>
                </c:pt>
                <c:pt idx="259">
                  <c:v>64.464022912791691</c:v>
                </c:pt>
                <c:pt idx="260">
                  <c:v>64.338202088293571</c:v>
                </c:pt>
                <c:pt idx="261">
                  <c:v>64.200620295920231</c:v>
                </c:pt>
                <c:pt idx="262">
                  <c:v>64.051179449746172</c:v>
                </c:pt>
                <c:pt idx="263">
                  <c:v>63.88978246575325</c:v>
                </c:pt>
                <c:pt idx="264">
                  <c:v>63.716333168170259</c:v>
                </c:pt>
                <c:pt idx="265">
                  <c:v>63.530736215956509</c:v>
                </c:pt>
                <c:pt idx="266">
                  <c:v>63.33289704952869</c:v>
                </c:pt>
                <c:pt idx="267">
                  <c:v>63.122721857811271</c:v>
                </c:pt>
                <c:pt idx="268">
                  <c:v>62.90011756566232</c:v>
                </c:pt>
                <c:pt idx="269">
                  <c:v>62.664991841702104</c:v>
                </c:pt>
                <c:pt idx="270">
                  <c:v>62.417253126544765</c:v>
                </c:pt>
                <c:pt idx="271">
                  <c:v>62.156810681409674</c:v>
                </c:pt>
                <c:pt idx="272">
                  <c:v>61.883574657055455</c:v>
                </c:pt>
                <c:pt idx="273">
                  <c:v>61.597456182952222</c:v>
                </c:pt>
                <c:pt idx="274">
                  <c:v>61.298367476570135</c:v>
                </c:pt>
                <c:pt idx="275">
                  <c:v>60.98622197262074</c:v>
                </c:pt>
                <c:pt idx="276">
                  <c:v>60.660934472049398</c:v>
                </c:pt>
                <c:pt idx="277">
                  <c:v>60.322421310520831</c:v>
                </c:pt>
                <c:pt idx="278">
                  <c:v>59.970600546088001</c:v>
                </c:pt>
                <c:pt idx="279">
                  <c:v>59.605392165669983</c:v>
                </c:pt>
                <c:pt idx="280">
                  <c:v>59.226718309896597</c:v>
                </c:pt>
                <c:pt idx="281">
                  <c:v>58.834503515798531</c:v>
                </c:pt>
                <c:pt idx="282">
                  <c:v>58.428674976739984</c:v>
                </c:pt>
                <c:pt idx="283">
                  <c:v>58.009162818894325</c:v>
                </c:pt>
                <c:pt idx="284">
                  <c:v>57.575900393467073</c:v>
                </c:pt>
                <c:pt idx="285">
                  <c:v>57.128824583756455</c:v>
                </c:pt>
                <c:pt idx="286">
                  <c:v>56.667876126032283</c:v>
                </c:pt>
                <c:pt idx="287">
                  <c:v>56.192999943082789</c:v>
                </c:pt>
                <c:pt idx="288">
                  <c:v>55.704145489154648</c:v>
                </c:pt>
                <c:pt idx="289">
                  <c:v>55.201267104870837</c:v>
                </c:pt>
                <c:pt idx="290">
                  <c:v>54.68432438057156</c:v>
                </c:pt>
                <c:pt idx="291">
                  <c:v>54.153282526378156</c:v>
                </c:pt>
                <c:pt idx="292">
                  <c:v>53.608112747128523</c:v>
                </c:pt>
                <c:pt idx="293">
                  <c:v>53.048792620188571</c:v>
                </c:pt>
                <c:pt idx="294">
                  <c:v>52.475306473994543</c:v>
                </c:pt>
                <c:pt idx="295">
                  <c:v>51.887645765036019</c:v>
                </c:pt>
                <c:pt idx="296">
                  <c:v>51.285809450852973</c:v>
                </c:pt>
                <c:pt idx="297">
                  <c:v>50.669804356487028</c:v>
                </c:pt>
                <c:pt idx="298">
                  <c:v>50.039645531714527</c:v>
                </c:pt>
                <c:pt idx="299">
                  <c:v>49.395356596277338</c:v>
                </c:pt>
                <c:pt idx="300">
                  <c:v>48.736970070244467</c:v>
                </c:pt>
                <c:pt idx="301">
                  <c:v>48.064527686572546</c:v>
                </c:pt>
                <c:pt idx="302">
                  <c:v>47.37808068288534</c:v>
                </c:pt>
                <c:pt idx="303">
                  <c:v>46.677690069482665</c:v>
                </c:pt>
                <c:pt idx="304">
                  <c:v>45.963426870605005</c:v>
                </c:pt>
                <c:pt idx="305">
                  <c:v>45.235372336020262</c:v>
                </c:pt>
                <c:pt idx="306">
                  <c:v>44.493618120095363</c:v>
                </c:pt>
                <c:pt idx="307">
                  <c:v>43.738266425629874</c:v>
                </c:pt>
                <c:pt idx="308">
                  <c:v>42.969430109894525</c:v>
                </c:pt>
                <c:pt idx="309">
                  <c:v>42.187232750525425</c:v>
                </c:pt>
                <c:pt idx="310">
                  <c:v>41.391808669166608</c:v>
                </c:pt>
                <c:pt idx="311">
                  <c:v>40.583302911045131</c:v>
                </c:pt>
                <c:pt idx="312">
                  <c:v>39.761871178999137</c:v>
                </c:pt>
                <c:pt idx="313">
                  <c:v>38.92767972083638</c:v>
                </c:pt>
                <c:pt idx="314">
                  <c:v>38.080905169326158</c:v>
                </c:pt>
                <c:pt idx="315">
                  <c:v>37.22173433455356</c:v>
                </c:pt>
                <c:pt idx="316">
                  <c:v>36.350363948844389</c:v>
                </c:pt>
                <c:pt idx="317">
                  <c:v>35.46700036495929</c:v>
                </c:pt>
                <c:pt idx="318">
                  <c:v>34.571859208773056</c:v>
                </c:pt>
                <c:pt idx="319">
                  <c:v>33.665164988170524</c:v>
                </c:pt>
                <c:pt idx="320">
                  <c:v>32.747150660421276</c:v>
                </c:pt>
                <c:pt idx="321">
                  <c:v>31.818057160815997</c:v>
                </c:pt>
                <c:pt idx="322">
                  <c:v>30.878132895852097</c:v>
                </c:pt>
                <c:pt idx="323">
                  <c:v>29.927633204742076</c:v>
                </c:pt>
                <c:pt idx="324">
                  <c:v>28.966819793468495</c:v>
                </c:pt>
                <c:pt idx="325">
                  <c:v>27.995960146026462</c:v>
                </c:pt>
                <c:pt idx="326">
                  <c:v>27.01532691785739</c:v>
                </c:pt>
                <c:pt idx="327">
                  <c:v>26.025197316781114</c:v>
                </c:pt>
                <c:pt idx="328">
                  <c:v>25.025852476989865</c:v>
                </c:pt>
                <c:pt idx="329">
                  <c:v>24.017576831828315</c:v>
                </c:pt>
                <c:pt idx="330">
                  <c:v>23.000657491211481</c:v>
                </c:pt>
                <c:pt idx="331">
                  <c:v>21.975383629524735</c:v>
                </c:pt>
                <c:pt idx="332">
                  <c:v>20.942045889831466</c:v>
                </c:pt>
                <c:pt idx="333">
                  <c:v>19.900935810051518</c:v>
                </c:pt>
                <c:pt idx="334">
                  <c:v>18.852345276580387</c:v>
                </c:pt>
                <c:pt idx="335">
                  <c:v>17.796566010512397</c:v>
                </c:pt>
                <c:pt idx="336">
                  <c:v>16.733889091284588</c:v>
                </c:pt>
                <c:pt idx="337">
                  <c:v>15.664604522099735</c:v>
                </c:pt>
                <c:pt idx="338">
                  <c:v>14.589000841014133</c:v>
                </c:pt>
                <c:pt idx="339">
                  <c:v>13.507364781011045</c:v>
                </c:pt>
                <c:pt idx="340">
                  <c:v>12.419980981773737</c:v>
                </c:pt>
                <c:pt idx="341">
                  <c:v>11.327131755246091</c:v>
                </c:pt>
                <c:pt idx="342">
                  <c:v>10.229096906384449</c:v>
                </c:pt>
                <c:pt idx="343">
                  <c:v>9.1261536098265168</c:v>
                </c:pt>
                <c:pt idx="344">
                  <c:v>8.0185763424838239</c:v>
                </c:pt>
                <c:pt idx="345">
                  <c:v>6.9066368713812434</c:v>
                </c:pt>
                <c:pt idx="346">
                  <c:v>5.7906042953547914</c:v>
                </c:pt>
                <c:pt idx="347">
                  <c:v>4.6707451385624292</c:v>
                </c:pt>
                <c:pt idx="348">
                  <c:v>3.5473234930890287</c:v>
                </c:pt>
                <c:pt idx="349">
                  <c:v>2.4206012073362029</c:v>
                </c:pt>
                <c:pt idx="350">
                  <c:v>1.2908381163013469</c:v>
                </c:pt>
                <c:pt idx="351">
                  <c:v>0.15829230933411692</c:v>
                </c:pt>
                <c:pt idx="352">
                  <c:v>-0.97677956950521705</c:v>
                </c:pt>
                <c:pt idx="353">
                  <c:v>-2.1141219937722004</c:v>
                </c:pt>
                <c:pt idx="354">
                  <c:v>-3.2534802052709919</c:v>
                </c:pt>
                <c:pt idx="355">
                  <c:v>-4.3945998488746865</c:v>
                </c:pt>
                <c:pt idx="356">
                  <c:v>-5.5372265976339143</c:v>
                </c:pt>
                <c:pt idx="357">
                  <c:v>-6.6811057743736146</c:v>
                </c:pt>
                <c:pt idx="358">
                  <c:v>-7.8259819760370499</c:v>
                </c:pt>
                <c:pt idx="359">
                  <c:v>-8.9715987070132392</c:v>
                </c:pt>
                <c:pt idx="360">
                  <c:v>-10.117698027559294</c:v>
                </c:pt>
                <c:pt idx="361">
                  <c:v>-11.264020223281689</c:v>
                </c:pt>
                <c:pt idx="362">
                  <c:v>-12.410303501366382</c:v>
                </c:pt>
                <c:pt idx="363">
                  <c:v>-13.556283718946373</c:v>
                </c:pt>
                <c:pt idx="364">
                  <c:v>-14.701694148612157</c:v>
                </c:pt>
                <c:pt idx="365">
                  <c:v>-15.846265285621119</c:v>
                </c:pt>
                <c:pt idx="366">
                  <c:v>-16.989724700886892</c:v>
                </c:pt>
                <c:pt idx="367">
                  <c:v>-18.131796943265819</c:v>
                </c:pt>
                <c:pt idx="368">
                  <c:v>-19.272203494093507</c:v>
                </c:pt>
                <c:pt idx="369">
                  <c:v>-20.410662776297187</c:v>
                </c:pt>
                <c:pt idx="370">
                  <c:v>-21.546890219777069</c:v>
                </c:pt>
                <c:pt idx="371">
                  <c:v>-22.680598384088203</c:v>
                </c:pt>
                <c:pt idx="372">
                  <c:v>-23.811497138797609</c:v>
                </c:pt>
                <c:pt idx="373">
                  <c:v>-24.939293901217361</c:v>
                </c:pt>
                <c:pt idx="374">
                  <c:v>-26.063693930581422</c:v>
                </c:pt>
                <c:pt idx="375">
                  <c:v>-27.184400677089112</c:v>
                </c:pt>
                <c:pt idx="376">
                  <c:v>-28.301116183649725</c:v>
                </c:pt>
                <c:pt idx="377">
                  <c:v>-29.413541537584301</c:v>
                </c:pt>
                <c:pt idx="378">
                  <c:v>-30.521377369044306</c:v>
                </c:pt>
                <c:pt idx="379">
                  <c:v>-31.624324392423308</c:v>
                </c:pt>
                <c:pt idx="380">
                  <c:v>-32.722083986632448</c:v>
                </c:pt>
                <c:pt idx="381">
                  <c:v>-33.814358809780281</c:v>
                </c:pt>
                <c:pt idx="382">
                  <c:v>-34.900853443496544</c:v>
                </c:pt>
                <c:pt idx="383">
                  <c:v>-35.981275061946988</c:v>
                </c:pt>
                <c:pt idx="384">
                  <c:v>-37.055334120432818</c:v>
                </c:pt>
                <c:pt idx="385">
                  <c:v>-38.122745058398714</c:v>
                </c:pt>
                <c:pt idx="386">
                  <c:v>-39.18322701166862</c:v>
                </c:pt>
                <c:pt idx="387">
                  <c:v>-40.236504528777139</c:v>
                </c:pt>
                <c:pt idx="388">
                  <c:v>-41.2823082863788</c:v>
                </c:pt>
                <c:pt idx="389">
                  <c:v>-42.320375798895206</c:v>
                </c:pt>
                <c:pt idx="390">
                  <c:v>-43.350452117749846</c:v>
                </c:pt>
                <c:pt idx="391">
                  <c:v>-44.372290515818463</c:v>
                </c:pt>
                <c:pt idx="392">
                  <c:v>-45.385653152987388</c:v>
                </c:pt>
                <c:pt idx="393">
                  <c:v>-46.390311719030443</c:v>
                </c:pt>
                <c:pt idx="394">
                  <c:v>-47.386048050337948</c:v>
                </c:pt>
                <c:pt idx="395">
                  <c:v>-48.37265471736503</c:v>
                </c:pt>
                <c:pt idx="396">
                  <c:v>-49.349935580009316</c:v>
                </c:pt>
                <c:pt idx="397">
                  <c:v>-50.317706308451491</c:v>
                </c:pt>
                <c:pt idx="398">
                  <c:v>-51.275794867332813</c:v>
                </c:pt>
                <c:pt idx="399">
                  <c:v>-52.224041961439561</c:v>
                </c:pt>
                <c:pt idx="400">
                  <c:v>-53.162301441372861</c:v>
                </c:pt>
                <c:pt idx="401">
                  <c:v>-54.090440667946929</c:v>
                </c:pt>
                <c:pt idx="402">
                  <c:v>-55.008340834330809</c:v>
                </c:pt>
                <c:pt idx="403">
                  <c:v>-55.915897245163833</c:v>
                </c:pt>
                <c:pt idx="404">
                  <c:v>-56.813019552108472</c:v>
                </c:pt>
                <c:pt idx="405">
                  <c:v>-57.699631945491966</c:v>
                </c:pt>
                <c:pt idx="406">
                  <c:v>-58.575673301871326</c:v>
                </c:pt>
                <c:pt idx="407">
                  <c:v>-59.441097287526304</c:v>
                </c:pt>
                <c:pt idx="408">
                  <c:v>-60.295872418038179</c:v>
                </c:pt>
                <c:pt idx="409">
                  <c:v>-61.139982074262953</c:v>
                </c:pt>
                <c:pt idx="410">
                  <c:v>-61.973424475156946</c:v>
                </c:pt>
                <c:pt idx="411">
                  <c:v>-62.796212608050936</c:v>
                </c:pt>
                <c:pt idx="412">
                  <c:v>-63.608374117117812</c:v>
                </c:pt>
                <c:pt idx="413">
                  <c:v>-64.409951150925423</c:v>
                </c:pt>
                <c:pt idx="414">
                  <c:v>-65.201000170118419</c:v>
                </c:pt>
                <c:pt idx="415">
                  <c:v>-65.981591716433883</c:v>
                </c:pt>
                <c:pt idx="416">
                  <c:v>-66.751810144411749</c:v>
                </c:pt>
                <c:pt idx="417">
                  <c:v>-67.51175331733333</c:v>
                </c:pt>
                <c:pt idx="418">
                  <c:v>-68.261532269085322</c:v>
                </c:pt>
                <c:pt idx="419">
                  <c:v>-69.001270833821863</c:v>
                </c:pt>
                <c:pt idx="420">
                  <c:v>-69.731105245457172</c:v>
                </c:pt>
                <c:pt idx="421">
                  <c:v>-70.451183709188754</c:v>
                </c:pt>
                <c:pt idx="422">
                  <c:v>-71.161665947397466</c:v>
                </c:pt>
                <c:pt idx="423">
                  <c:v>-71.862722722416379</c:v>
                </c:pt>
                <c:pt idx="424">
                  <c:v>-72.554535338779516</c:v>
                </c:pt>
                <c:pt idx="425">
                  <c:v>-73.237295127667394</c:v>
                </c:pt>
                <c:pt idx="426">
                  <c:v>-73.911202916349879</c:v>
                </c:pt>
                <c:pt idx="427">
                  <c:v>-74.576468485472802</c:v>
                </c:pt>
                <c:pt idx="428">
                  <c:v>-75.233310017082104</c:v>
                </c:pt>
                <c:pt idx="429">
                  <c:v>-75.881953536263396</c:v>
                </c:pt>
                <c:pt idx="430">
                  <c:v>-76.522632349247814</c:v>
                </c:pt>
                <c:pt idx="431">
                  <c:v>-77.15558648078499</c:v>
                </c:pt>
                <c:pt idx="432">
                  <c:v>-77.781062113485362</c:v>
                </c:pt>
                <c:pt idx="433">
                  <c:v>-78.399311031721922</c:v>
                </c:pt>
                <c:pt idx="434">
                  <c:v>-79.010590072538818</c:v>
                </c:pt>
                <c:pt idx="435">
                  <c:v>-79.615160585846937</c:v>
                </c:pt>
                <c:pt idx="436">
                  <c:v>-80.213287906001938</c:v>
                </c:pt>
                <c:pt idx="437">
                  <c:v>-80.805240836646831</c:v>
                </c:pt>
                <c:pt idx="438">
                  <c:v>-81.391291150497594</c:v>
                </c:pt>
                <c:pt idx="439">
                  <c:v>-81.971713105499006</c:v>
                </c:pt>
                <c:pt idx="440">
                  <c:v>-82.546782978563186</c:v>
                </c:pt>
                <c:pt idx="441">
                  <c:v>-83.116778617841092</c:v>
                </c:pt>
                <c:pt idx="442">
                  <c:v>-83.681979014256868</c:v>
                </c:pt>
                <c:pt idx="443">
                  <c:v>-84.242663892777713</c:v>
                </c:pt>
                <c:pt idx="444">
                  <c:v>-84.799113323679109</c:v>
                </c:pt>
                <c:pt idx="445">
                  <c:v>-85.351607353829138</c:v>
                </c:pt>
                <c:pt idx="446">
                  <c:v>-85.900425657812562</c:v>
                </c:pt>
                <c:pt idx="447">
                  <c:v>-86.445847208514294</c:v>
                </c:pt>
                <c:pt idx="448">
                  <c:v>-86.98814996660164</c:v>
                </c:pt>
                <c:pt idx="449">
                  <c:v>-87.527610588175094</c:v>
                </c:pt>
                <c:pt idx="450">
                  <c:v>-88.064504149710714</c:v>
                </c:pt>
                <c:pt idx="451">
                  <c:v>-88.599103889283299</c:v>
                </c:pt>
                <c:pt idx="452">
                  <c:v>-89.131680962944614</c:v>
                </c:pt>
                <c:pt idx="453">
                  <c:v>-89.662504215036748</c:v>
                </c:pt>
                <c:pt idx="454">
                  <c:v>-90.19183996113658</c:v>
                </c:pt>
                <c:pt idx="455">
                  <c:v>-90.719951782270158</c:v>
                </c:pt>
                <c:pt idx="456">
                  <c:v>-91.247100328982185</c:v>
                </c:pt>
                <c:pt idx="457">
                  <c:v>-91.773543133823154</c:v>
                </c:pt>
                <c:pt idx="458">
                  <c:v>-92.299534430791738</c:v>
                </c:pt>
                <c:pt idx="459">
                  <c:v>-92.825324980272555</c:v>
                </c:pt>
                <c:pt idx="460">
                  <c:v>-93.35116189801586</c:v>
                </c:pt>
                <c:pt idx="461">
                  <c:v>-93.877288486729654</c:v>
                </c:pt>
                <c:pt idx="462">
                  <c:v>-94.403944068885195</c:v>
                </c:pt>
                <c:pt idx="463">
                  <c:v>-94.931363819380806</c:v>
                </c:pt>
                <c:pt idx="464">
                  <c:v>-95.459778596760145</c:v>
                </c:pt>
                <c:pt idx="465">
                  <c:v>-95.989414771740513</c:v>
                </c:pt>
                <c:pt idx="466">
                  <c:v>-96.520494051880945</c:v>
                </c:pt>
                <c:pt idx="467">
                  <c:v>-97.053233301288557</c:v>
                </c:pt>
                <c:pt idx="468">
                  <c:v>-97.587844354351873</c:v>
                </c:pt>
                <c:pt idx="469">
                  <c:v>-98.124533822578812</c:v>
                </c:pt>
                <c:pt idx="470">
                  <c:v>-98.663502893713186</c:v>
                </c:pt>
                <c:pt idx="471">
                  <c:v>-99.204947122411454</c:v>
                </c:pt>
                <c:pt idx="472">
                  <c:v>-99.749056211866389</c:v>
                </c:pt>
                <c:pt idx="473">
                  <c:v>-100.29601378589072</c:v>
                </c:pt>
                <c:pt idx="474">
                  <c:v>-100.84599715108864</c:v>
                </c:pt>
                <c:pt idx="475">
                  <c:v>-101.39917704887905</c:v>
                </c:pt>
                <c:pt idx="476">
                  <c:v>-101.95571739727065</c:v>
                </c:pt>
                <c:pt idx="477">
                  <c:v>-102.51577502243032</c:v>
                </c:pt>
                <c:pt idx="478">
                  <c:v>-103.07949938023913</c:v>
                </c:pt>
                <c:pt idx="479">
                  <c:v>-103.64703226818503</c:v>
                </c:pt>
                <c:pt idx="480">
                  <c:v>-104.2185075281032</c:v>
                </c:pt>
                <c:pt idx="481">
                  <c:v>-104.79405074044423</c:v>
                </c:pt>
                <c:pt idx="482">
                  <c:v>-105.37377891092503</c:v>
                </c:pt>
                <c:pt idx="483">
                  <c:v>-105.95780015058973</c:v>
                </c:pt>
                <c:pt idx="484">
                  <c:v>-106.54621335049998</c:v>
                </c:pt>
                <c:pt idx="485">
                  <c:v>-107.13910785244657</c:v>
                </c:pt>
                <c:pt idx="486">
                  <c:v>-107.73656311727021</c:v>
                </c:pt>
                <c:pt idx="487">
                  <c:v>-108.33864839256418</c:v>
                </c:pt>
                <c:pt idx="488">
                  <c:v>-108.94542238170908</c:v>
                </c:pt>
                <c:pt idx="489">
                  <c:v>-109.55693291638435</c:v>
                </c:pt>
                <c:pt idx="490">
                  <c:v>-110.17321663486617</c:v>
                </c:pt>
                <c:pt idx="491">
                  <c:v>-110.79429866859306</c:v>
                </c:pt>
                <c:pt idx="492">
                  <c:v>-111.42019233964191</c:v>
                </c:pt>
                <c:pt idx="493">
                  <c:v>-112.05089887189426</c:v>
                </c:pt>
                <c:pt idx="494">
                  <c:v>-112.68640711880344</c:v>
                </c:pt>
                <c:pt idx="495">
                  <c:v>-113.32669331078338</c:v>
                </c:pt>
                <c:pt idx="496">
                  <c:v>-113.9717208253188</c:v>
                </c:pt>
                <c:pt idx="497">
                  <c:v>-114.62143998296128</c:v>
                </c:pt>
                <c:pt idx="498">
                  <c:v>-115.27578787240293</c:v>
                </c:pt>
                <c:pt idx="499">
                  <c:v>-115.93468820781419</c:v>
                </c:pt>
                <c:pt idx="500">
                  <c:v>-116.59805122159986</c:v>
                </c:pt>
                <c:pt idx="501">
                  <c:v>-117.26577359564709</c:v>
                </c:pt>
                <c:pt idx="502">
                  <c:v>-117.93773843402323</c:v>
                </c:pt>
                <c:pt idx="503">
                  <c:v>-118.61381527992651</c:v>
                </c:pt>
                <c:pt idx="504">
                  <c:v>-119.29386017948831</c:v>
                </c:pt>
                <c:pt idx="505">
                  <c:v>-119.97771579478287</c:v>
                </c:pt>
                <c:pt idx="506">
                  <c:v>-120.66521156810879</c:v>
                </c:pt>
                <c:pt idx="507">
                  <c:v>-121.35616393928126</c:v>
                </c:pt>
                <c:pt idx="508">
                  <c:v>-122.05037661729619</c:v>
                </c:pt>
                <c:pt idx="509">
                  <c:v>-122.74764090731883</c:v>
                </c:pt>
                <c:pt idx="510">
                  <c:v>-123.44773609350791</c:v>
                </c:pt>
                <c:pt idx="511">
                  <c:v>-124.15042987770506</c:v>
                </c:pt>
                <c:pt idx="512">
                  <c:v>-124.85547887352708</c:v>
                </c:pt>
                <c:pt idx="513">
                  <c:v>-125.562629154874</c:v>
                </c:pt>
                <c:pt idx="514">
                  <c:v>-126.27161685733618</c:v>
                </c:pt>
                <c:pt idx="515">
                  <c:v>-126.98216883045782</c:v>
                </c:pt>
                <c:pt idx="516">
                  <c:v>-127.69400333826692</c:v>
                </c:pt>
                <c:pt idx="517">
                  <c:v>-128.40683080498226</c:v>
                </c:pt>
                <c:pt idx="518">
                  <c:v>-129.12035460229635</c:v>
                </c:pt>
                <c:pt idx="519">
                  <c:v>-129.83427187416535</c:v>
                </c:pt>
                <c:pt idx="520">
                  <c:v>-130.54827439461528</c:v>
                </c:pt>
                <c:pt idx="521">
                  <c:v>-131.26204945366902</c:v>
                </c:pt>
                <c:pt idx="522">
                  <c:v>-131.97528076617726</c:v>
                </c:pt>
                <c:pt idx="523">
                  <c:v>-132.68764939805246</c:v>
                </c:pt>
                <c:pt idx="524">
                  <c:v>-133.3988347041896</c:v>
                </c:pt>
                <c:pt idx="525">
                  <c:v>-134.10851527220635</c:v>
                </c:pt>
                <c:pt idx="526">
                  <c:v>-134.81636986606864</c:v>
                </c:pt>
                <c:pt idx="527">
                  <c:v>-135.52207836364849</c:v>
                </c:pt>
                <c:pt idx="528">
                  <c:v>-136.22532268232956</c:v>
                </c:pt>
                <c:pt idx="529">
                  <c:v>-136.92578768692397</c:v>
                </c:pt>
                <c:pt idx="530">
                  <c:v>-137.62316207433716</c:v>
                </c:pt>
                <c:pt idx="531">
                  <c:v>-138.31713922972611</c:v>
                </c:pt>
                <c:pt idx="532">
                  <c:v>-139.00741804917587</c:v>
                </c:pt>
                <c:pt idx="533">
                  <c:v>-139.69370372434591</c:v>
                </c:pt>
                <c:pt idx="534">
                  <c:v>-140.37570848491356</c:v>
                </c:pt>
                <c:pt idx="535">
                  <c:v>-141.05315229514602</c:v>
                </c:pt>
                <c:pt idx="536">
                  <c:v>-141.72576350139698</c:v>
                </c:pt>
                <c:pt idx="537">
                  <c:v>-142.39327942785721</c:v>
                </c:pt>
                <c:pt idx="538">
                  <c:v>-143.05544691839859</c:v>
                </c:pt>
                <c:pt idx="539">
                  <c:v>-143.71202282290184</c:v>
                </c:pt>
                <c:pt idx="540">
                  <c:v>-144.36277442697425</c:v>
                </c:pt>
                <c:pt idx="541">
                  <c:v>-145.00747982449585</c:v>
                </c:pt>
              </c:numCache>
            </c:numRef>
          </c:yVal>
          <c:smooth val="1"/>
          <c:extLst>
            <c:ext xmlns:c16="http://schemas.microsoft.com/office/drawing/2014/chart" uri="{C3380CC4-5D6E-409C-BE32-E72D297353CC}">
              <c16:uniqueId val="{00000001-60FA-41CA-AA9C-7A171A922A6D}"/>
            </c:ext>
          </c:extLst>
        </c:ser>
        <c:dLbls>
          <c:showLegendKey val="0"/>
          <c:showVal val="0"/>
          <c:showCatName val="0"/>
          <c:showSerName val="0"/>
          <c:showPercent val="0"/>
          <c:showBubbleSize val="0"/>
        </c:dLbls>
        <c:axId val="178971776"/>
        <c:axId val="178961792"/>
      </c:scatterChart>
      <c:valAx>
        <c:axId val="17895360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959872"/>
        <c:crosses val="autoZero"/>
        <c:crossBetween val="midCat"/>
      </c:valAx>
      <c:valAx>
        <c:axId val="17895987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78953600"/>
        <c:crosses val="autoZero"/>
        <c:crossBetween val="midCat"/>
        <c:majorUnit val="20"/>
        <c:minorUnit val="10"/>
      </c:valAx>
      <c:valAx>
        <c:axId val="1789617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8971776"/>
        <c:crosses val="max"/>
        <c:crossBetween val="midCat"/>
        <c:majorUnit val="90"/>
        <c:minorUnit val="45"/>
      </c:valAx>
      <c:valAx>
        <c:axId val="178971776"/>
        <c:scaling>
          <c:logBase val="10"/>
          <c:orientation val="minMax"/>
        </c:scaling>
        <c:delete val="1"/>
        <c:axPos val="b"/>
        <c:numFmt formatCode="0.00" sourceLinked="1"/>
        <c:majorTickMark val="out"/>
        <c:minorTickMark val="none"/>
        <c:tickLblPos val="nextTo"/>
        <c:crossAx val="17896179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Loop_Modeling!$B$16" max="60" noThreeD="1" page="10" val="18"/>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chart" Target="../charts/chart4.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9</xdr:col>
      <xdr:colOff>22860</xdr:colOff>
      <xdr:row>52</xdr:row>
      <xdr:rowOff>1</xdr:rowOff>
    </xdr:from>
    <xdr:to>
      <xdr:col>25</xdr:col>
      <xdr:colOff>598714</xdr:colOff>
      <xdr:row>73</xdr:row>
      <xdr:rowOff>175261</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22861</xdr:colOff>
      <xdr:row>76</xdr:row>
      <xdr:rowOff>7620</xdr:rowOff>
    </xdr:from>
    <xdr:to>
      <xdr:col>25</xdr:col>
      <xdr:colOff>600637</xdr:colOff>
      <xdr:row>100</xdr:row>
      <xdr:rowOff>163286</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xdr:from>
          <xdr:col>7</xdr:col>
          <xdr:colOff>754380</xdr:colOff>
          <xdr:row>58</xdr:row>
          <xdr:rowOff>0</xdr:rowOff>
        </xdr:from>
        <xdr:to>
          <xdr:col>8</xdr:col>
          <xdr:colOff>7620</xdr:colOff>
          <xdr:row>60</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13</xdr:col>
      <xdr:colOff>560313</xdr:colOff>
      <xdr:row>51</xdr:row>
      <xdr:rowOff>62752</xdr:rowOff>
    </xdr:from>
    <xdr:to>
      <xdr:col>15</xdr:col>
      <xdr:colOff>289878</xdr:colOff>
      <xdr:row>53</xdr:row>
      <xdr:rowOff>161363</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225137" y="9849223"/>
          <a:ext cx="969682" cy="5169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130006</xdr:colOff>
      <xdr:row>51</xdr:row>
      <xdr:rowOff>71718</xdr:rowOff>
    </xdr:from>
    <xdr:to>
      <xdr:col>16</xdr:col>
      <xdr:colOff>461700</xdr:colOff>
      <xdr:row>53</xdr:row>
      <xdr:rowOff>170330</xdr:rowOff>
    </xdr:to>
    <xdr:sp macro="" textlink="VIN_var">
      <xdr:nvSpPr>
        <xdr:cNvPr id="3" name="TextBox 2">
          <a:extLst>
            <a:ext uri="{FF2B5EF4-FFF2-40B4-BE49-F238E27FC236}">
              <a16:creationId xmlns:a16="http://schemas.microsoft.com/office/drawing/2014/main" id="{00000000-0008-0000-0000-000003000000}"/>
            </a:ext>
          </a:extLst>
        </xdr:cNvPr>
        <xdr:cNvSpPr txBox="1"/>
      </xdr:nvSpPr>
      <xdr:spPr>
        <a:xfrm>
          <a:off x="9034947" y="9858189"/>
          <a:ext cx="951753" cy="5169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45AF08-B1D6-47C0-A1D9-CF710D8B3736}" type="TxLink">
            <a:rPr lang="en-US" sz="2400" b="0" i="0" u="none" strike="noStrike">
              <a:solidFill>
                <a:srgbClr val="000000"/>
              </a:solidFill>
              <a:latin typeface="Calibri"/>
              <a:cs typeface="Calibri"/>
            </a:rPr>
            <a:pPr/>
            <a:t>18</a:t>
          </a:fld>
          <a:endParaRPr lang="en-US" sz="4800"/>
        </a:p>
      </xdr:txBody>
    </xdr:sp>
    <xdr:clientData/>
  </xdr:twoCellAnchor>
  <xdr:twoCellAnchor>
    <xdr:from>
      <xdr:col>16</xdr:col>
      <xdr:colOff>271973</xdr:colOff>
      <xdr:row>51</xdr:row>
      <xdr:rowOff>62752</xdr:rowOff>
    </xdr:from>
    <xdr:to>
      <xdr:col>18</xdr:col>
      <xdr:colOff>11996</xdr:colOff>
      <xdr:row>53</xdr:row>
      <xdr:rowOff>161363</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9796973" y="9849223"/>
          <a:ext cx="980141" cy="5169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11</xdr:col>
      <xdr:colOff>376517</xdr:colOff>
      <xdr:row>76</xdr:row>
      <xdr:rowOff>26894</xdr:rowOff>
    </xdr:from>
    <xdr:to>
      <xdr:col>13</xdr:col>
      <xdr:colOff>116540</xdr:colOff>
      <xdr:row>78</xdr:row>
      <xdr:rowOff>134470</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6696635" y="14379388"/>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13</xdr:col>
      <xdr:colOff>67851</xdr:colOff>
      <xdr:row>76</xdr:row>
      <xdr:rowOff>35860</xdr:rowOff>
    </xdr:from>
    <xdr:to>
      <xdr:col>14</xdr:col>
      <xdr:colOff>417475</xdr:colOff>
      <xdr:row>78</xdr:row>
      <xdr:rowOff>143437</xdr:rowOff>
    </xdr:to>
    <xdr:sp macro="" textlink="VIN_var">
      <xdr:nvSpPr>
        <xdr:cNvPr id="10" name="TextBox 9">
          <a:extLst>
            <a:ext uri="{FF2B5EF4-FFF2-40B4-BE49-F238E27FC236}">
              <a16:creationId xmlns:a16="http://schemas.microsoft.com/office/drawing/2014/main" id="{00000000-0008-0000-0000-00000A000000}"/>
            </a:ext>
          </a:extLst>
        </xdr:cNvPr>
        <xdr:cNvSpPr txBox="1"/>
      </xdr:nvSpPr>
      <xdr:spPr>
        <a:xfrm>
          <a:off x="7835129" y="15596028"/>
          <a:ext cx="977153" cy="485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B256A8-11FB-4B1E-A1DF-DFACC41BEEAC}" type="TxLink">
            <a:rPr lang="en-US" sz="2400" b="0" i="0" u="none" strike="noStrike">
              <a:solidFill>
                <a:srgbClr val="000000"/>
              </a:solidFill>
              <a:latin typeface="Calibri"/>
              <a:cs typeface="Calibri"/>
            </a:rPr>
            <a:pPr/>
            <a:t>18</a:t>
          </a:fld>
          <a:endParaRPr lang="en-US" sz="4800"/>
        </a:p>
      </xdr:txBody>
    </xdr:sp>
    <xdr:clientData/>
  </xdr:twoCellAnchor>
  <xdr:twoCellAnchor>
    <xdr:from>
      <xdr:col>13</xdr:col>
      <xdr:colOff>554332</xdr:colOff>
      <xdr:row>76</xdr:row>
      <xdr:rowOff>26894</xdr:rowOff>
    </xdr:from>
    <xdr:to>
      <xdr:col>15</xdr:col>
      <xdr:colOff>283896</xdr:colOff>
      <xdr:row>78</xdr:row>
      <xdr:rowOff>134470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8219156" y="14930718"/>
          <a:ext cx="969681" cy="4960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editAs="oneCell">
    <xdr:from>
      <xdr:col>10</xdr:col>
      <xdr:colOff>70437</xdr:colOff>
      <xdr:row>5</xdr:row>
      <xdr:rowOff>89645</xdr:rowOff>
    </xdr:from>
    <xdr:to>
      <xdr:col>25</xdr:col>
      <xdr:colOff>444576</xdr:colOff>
      <xdr:row>41</xdr:row>
      <xdr:rowOff>134469</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55126" y="1402334"/>
          <a:ext cx="9665416" cy="71781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505866</xdr:colOff>
      <xdr:row>199</xdr:row>
      <xdr:rowOff>166488</xdr:rowOff>
    </xdr:from>
    <xdr:to>
      <xdr:col>15</xdr:col>
      <xdr:colOff>375236</xdr:colOff>
      <xdr:row>202</xdr:row>
      <xdr:rowOff>52509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623177" y="37875883"/>
          <a:ext cx="4012345" cy="4431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xdr:twoCellAnchor>
    <xdr:from>
      <xdr:col>8</xdr:col>
      <xdr:colOff>842683</xdr:colOff>
      <xdr:row>174</xdr:row>
      <xdr:rowOff>17930</xdr:rowOff>
    </xdr:from>
    <xdr:to>
      <xdr:col>14</xdr:col>
      <xdr:colOff>475130</xdr:colOff>
      <xdr:row>184</xdr:row>
      <xdr:rowOff>98613</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798424" y="23523389"/>
          <a:ext cx="3541059" cy="133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votlage range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375238</xdr:colOff>
      <xdr:row>64</xdr:row>
      <xdr:rowOff>185055</xdr:rowOff>
    </xdr:from>
    <xdr:to>
      <xdr:col>16</xdr:col>
      <xdr:colOff>643009</xdr:colOff>
      <xdr:row>84</xdr:row>
      <xdr:rowOff>3117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45</xdr:col>
      <xdr:colOff>186690</xdr:colOff>
      <xdr:row>39</xdr:row>
      <xdr:rowOff>167640</xdr:rowOff>
    </xdr:from>
    <xdr:to>
      <xdr:col>47</xdr:col>
      <xdr:colOff>515247</xdr:colOff>
      <xdr:row>45</xdr:row>
      <xdr:rowOff>69932</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47</xdr:col>
      <xdr:colOff>247650</xdr:colOff>
      <xdr:row>40</xdr:row>
      <xdr:rowOff>60960</xdr:rowOff>
    </xdr:from>
    <xdr:to>
      <xdr:col>51</xdr:col>
      <xdr:colOff>567929</xdr:colOff>
      <xdr:row>44</xdr:row>
      <xdr:rowOff>129611</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44</xdr:col>
      <xdr:colOff>30480</xdr:colOff>
      <xdr:row>49</xdr:row>
      <xdr:rowOff>64770</xdr:rowOff>
    </xdr:from>
    <xdr:to>
      <xdr:col>55</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21</xdr:row>
      <xdr:rowOff>121920</xdr:rowOff>
    </xdr:from>
    <xdr:to>
      <xdr:col>26</xdr:col>
      <xdr:colOff>45720</xdr:colOff>
      <xdr:row>45</xdr:row>
      <xdr:rowOff>80010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32</xdr:row>
      <xdr:rowOff>8964</xdr:rowOff>
    </xdr:from>
    <xdr:to>
      <xdr:col>11</xdr:col>
      <xdr:colOff>591031</xdr:colOff>
      <xdr:row>40</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289382" y="5952564"/>
          <a:ext cx="2411506" cy="1602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0</xdr:colOff>
      <xdr:row>49</xdr:row>
      <xdr:rowOff>13855</xdr:rowOff>
    </xdr:from>
    <xdr:to>
      <xdr:col>12</xdr:col>
      <xdr:colOff>83127</xdr:colOff>
      <xdr:row>60</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error amplifier is the same regardless of the mode of operation</a:t>
          </a:r>
        </a:p>
      </xdr:txBody>
    </xdr:sp>
    <xdr:clientData/>
  </xdr:twoCellAnchor>
  <xdr:twoCellAnchor>
    <xdr:from>
      <xdr:col>31</xdr:col>
      <xdr:colOff>313764</xdr:colOff>
      <xdr:row>48</xdr:row>
      <xdr:rowOff>179295</xdr:rowOff>
    </xdr:from>
    <xdr:to>
      <xdr:col>42</xdr:col>
      <xdr:colOff>438673</xdr:colOff>
      <xdr:row>72</xdr:row>
      <xdr:rowOff>152625</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22</xdr:row>
      <xdr:rowOff>0</xdr:rowOff>
    </xdr:from>
    <xdr:to>
      <xdr:col>42</xdr:col>
      <xdr:colOff>97865</xdr:colOff>
      <xdr:row>45</xdr:row>
      <xdr:rowOff>144855</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0</xdr:colOff>
      <xdr:row>22</xdr:row>
      <xdr:rowOff>0</xdr:rowOff>
    </xdr:from>
    <xdr:to>
      <xdr:col>55</xdr:col>
      <xdr:colOff>269688</xdr:colOff>
      <xdr:row>45</xdr:row>
      <xdr:rowOff>144855</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editAs="oneCell">
    <xdr:from>
      <xdr:col>9</xdr:col>
      <xdr:colOff>129540</xdr:colOff>
      <xdr:row>22</xdr:row>
      <xdr:rowOff>0</xdr:rowOff>
    </xdr:from>
    <xdr:to>
      <xdr:col>13</xdr:col>
      <xdr:colOff>76200</xdr:colOff>
      <xdr:row>30</xdr:row>
      <xdr:rowOff>45370</xdr:rowOff>
    </xdr:to>
    <xdr:pic>
      <xdr:nvPicPr>
        <xdr:cNvPr id="4" name="Picture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069580" y="4198620"/>
          <a:ext cx="2385060" cy="152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50800</xdr:colOff>
      <xdr:row>1</xdr:row>
      <xdr:rowOff>6351</xdr:rowOff>
    </xdr:from>
    <xdr:to>
      <xdr:col>1</xdr:col>
      <xdr:colOff>4946650</xdr:colOff>
      <xdr:row>2</xdr:row>
      <xdr:rowOff>7693</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0400" y="190501"/>
          <a:ext cx="4895850" cy="37414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102"/>
  <sheetViews>
    <sheetView tabSelected="1" topLeftCell="A37" zoomScale="85" zoomScaleNormal="85" workbookViewId="0">
      <selection activeCell="H49" sqref="H49"/>
    </sheetView>
  </sheetViews>
  <sheetFormatPr defaultColWidth="8.88671875" defaultRowHeight="14.4" x14ac:dyDescent="0.3"/>
  <cols>
    <col min="1" max="6" width="8.88671875" style="120" customWidth="1"/>
    <col min="7" max="7" width="8.88671875" style="188" customWidth="1"/>
    <col min="8" max="8" width="12" style="120" bestFit="1" customWidth="1"/>
    <col min="9" max="9" width="4.109375" style="120" bestFit="1" customWidth="1"/>
    <col min="10" max="10" width="4.88671875" style="120" customWidth="1"/>
    <col min="11" max="20" width="8.88671875" style="120" customWidth="1"/>
    <col min="21" max="21" width="8.88671875" style="124" customWidth="1"/>
    <col min="22" max="22" width="7.109375" style="120" customWidth="1"/>
    <col min="23" max="26" width="8.88671875" style="120" customWidth="1"/>
    <col min="27" max="27" width="1.88671875" style="189" customWidth="1"/>
    <col min="28" max="16384" width="8.88671875" style="120"/>
  </cols>
  <sheetData>
    <row r="1" spans="1:27" ht="46.65" customHeight="1" x14ac:dyDescent="0.3">
      <c r="A1" s="115"/>
      <c r="B1" s="115"/>
      <c r="C1" s="115"/>
      <c r="D1" s="115"/>
      <c r="E1" s="116" t="s">
        <v>514</v>
      </c>
      <c r="F1" s="115"/>
      <c r="G1" s="117"/>
      <c r="H1" s="115"/>
      <c r="I1" s="115"/>
      <c r="J1" s="115"/>
      <c r="K1" s="115"/>
      <c r="L1" s="115"/>
      <c r="M1" s="115"/>
      <c r="N1" s="115"/>
      <c r="O1" s="115"/>
      <c r="P1" s="115"/>
      <c r="Q1" s="115"/>
      <c r="R1" s="115"/>
      <c r="S1" s="115"/>
      <c r="T1" s="115"/>
      <c r="U1" s="118"/>
      <c r="V1" s="115"/>
      <c r="W1" s="115"/>
      <c r="X1" s="115"/>
      <c r="Y1" s="115"/>
      <c r="Z1" s="115"/>
      <c r="AA1" s="119"/>
    </row>
    <row r="2" spans="1:27" s="124" customFormat="1" x14ac:dyDescent="0.3">
      <c r="A2" s="121"/>
      <c r="B2" s="121"/>
      <c r="C2" s="121"/>
      <c r="D2" s="121"/>
      <c r="E2" s="121"/>
      <c r="F2" s="121"/>
      <c r="G2" s="122"/>
      <c r="H2" s="121"/>
      <c r="I2" s="121"/>
      <c r="J2" s="121"/>
      <c r="K2" s="121"/>
      <c r="L2" s="121"/>
      <c r="M2" s="121"/>
      <c r="N2" s="121"/>
      <c r="O2" s="121"/>
      <c r="P2" s="121"/>
      <c r="Q2" s="121"/>
      <c r="R2" s="121"/>
      <c r="S2" s="121"/>
      <c r="T2" s="121"/>
      <c r="U2" s="121"/>
      <c r="V2" s="121"/>
      <c r="W2" s="121"/>
      <c r="X2" s="121"/>
      <c r="Y2" s="121"/>
      <c r="Z2" s="121"/>
      <c r="AA2" s="123"/>
    </row>
    <row r="3" spans="1:27" s="124" customFormat="1" x14ac:dyDescent="0.3">
      <c r="A3" s="125" t="s">
        <v>1</v>
      </c>
      <c r="B3" s="121"/>
      <c r="C3" s="121"/>
      <c r="D3" s="121"/>
      <c r="E3" s="126"/>
      <c r="F3" s="127" t="s">
        <v>2</v>
      </c>
      <c r="G3" s="122"/>
      <c r="H3" s="121"/>
      <c r="I3" s="121"/>
      <c r="J3" s="121"/>
      <c r="K3" s="121"/>
      <c r="L3" s="121"/>
      <c r="M3" s="121"/>
      <c r="N3" s="121"/>
      <c r="O3" s="128" t="s">
        <v>0</v>
      </c>
      <c r="P3" s="121"/>
      <c r="Q3" s="121"/>
      <c r="R3" s="121"/>
      <c r="S3" s="121"/>
      <c r="T3" s="121"/>
      <c r="U3" s="121"/>
      <c r="V3" s="121"/>
      <c r="W3" s="121"/>
      <c r="X3" s="121"/>
      <c r="Y3" s="121"/>
      <c r="Z3" s="121"/>
      <c r="AA3" s="123"/>
    </row>
    <row r="4" spans="1:27" s="132" customFormat="1" x14ac:dyDescent="0.3">
      <c r="A4" s="129"/>
      <c r="B4" s="129"/>
      <c r="C4" s="129"/>
      <c r="D4" s="129"/>
      <c r="E4" s="129"/>
      <c r="F4" s="129"/>
      <c r="G4" s="130"/>
      <c r="H4" s="129"/>
      <c r="I4" s="129"/>
      <c r="J4" s="129"/>
      <c r="K4" s="129"/>
      <c r="L4" s="129"/>
      <c r="M4" s="129"/>
      <c r="N4" s="129"/>
      <c r="O4" s="129"/>
      <c r="P4" s="129"/>
      <c r="Q4" s="129"/>
      <c r="R4" s="129"/>
      <c r="S4" s="129"/>
      <c r="T4" s="129"/>
      <c r="U4" s="129"/>
      <c r="V4" s="129"/>
      <c r="W4" s="129"/>
      <c r="X4" s="129"/>
      <c r="Y4" s="129"/>
      <c r="Z4" s="129"/>
      <c r="AA4" s="131"/>
    </row>
    <row r="5" spans="1:27" x14ac:dyDescent="0.3">
      <c r="A5" s="133"/>
      <c r="B5" s="133"/>
      <c r="C5" s="133"/>
      <c r="D5" s="133"/>
      <c r="E5" s="133"/>
      <c r="F5" s="133"/>
      <c r="G5" s="134"/>
      <c r="H5" s="133"/>
      <c r="I5" s="133"/>
      <c r="J5" s="133"/>
      <c r="K5" s="133"/>
      <c r="L5" s="133"/>
      <c r="M5" s="133"/>
      <c r="N5" s="133"/>
      <c r="O5" s="133" t="s">
        <v>590</v>
      </c>
      <c r="P5" s="135" t="s">
        <v>512</v>
      </c>
      <c r="Q5" s="133"/>
      <c r="R5" s="133"/>
      <c r="S5" s="133"/>
      <c r="T5" s="133"/>
      <c r="U5" s="136"/>
      <c r="V5" s="133"/>
      <c r="W5" s="133"/>
      <c r="X5" s="133"/>
      <c r="Y5" s="133"/>
      <c r="Z5" s="133"/>
      <c r="AA5" s="119"/>
    </row>
    <row r="6" spans="1:27" ht="15" thickBot="1" x14ac:dyDescent="0.35">
      <c r="A6" s="137" t="s">
        <v>3</v>
      </c>
      <c r="B6" s="133"/>
      <c r="C6" s="133"/>
      <c r="D6" s="133"/>
      <c r="E6" s="133"/>
      <c r="F6" s="133"/>
      <c r="G6" s="134"/>
      <c r="H6" s="133"/>
      <c r="I6" s="133"/>
      <c r="J6" s="133"/>
      <c r="K6" s="133"/>
      <c r="L6" s="133"/>
      <c r="M6" s="133"/>
      <c r="N6" s="133"/>
      <c r="O6" s="133"/>
      <c r="P6" s="133"/>
      <c r="Q6" s="133"/>
      <c r="R6" s="133"/>
      <c r="S6" s="133"/>
      <c r="T6" s="133"/>
      <c r="U6" s="136"/>
      <c r="V6" s="133"/>
      <c r="W6" s="133"/>
      <c r="X6" s="133"/>
      <c r="Y6" s="133"/>
      <c r="Z6" s="133"/>
      <c r="AA6" s="119"/>
    </row>
    <row r="7" spans="1:27" ht="15" x14ac:dyDescent="0.35">
      <c r="A7" s="138"/>
      <c r="B7" s="139"/>
      <c r="C7" s="139"/>
      <c r="D7" s="139"/>
      <c r="E7" s="139"/>
      <c r="F7" s="139"/>
      <c r="G7" s="140" t="s">
        <v>4</v>
      </c>
      <c r="H7" s="191">
        <v>8</v>
      </c>
      <c r="I7" s="141" t="s">
        <v>10</v>
      </c>
      <c r="J7" s="133"/>
      <c r="K7" s="133"/>
      <c r="L7" s="133"/>
      <c r="M7" s="133"/>
      <c r="N7" s="133"/>
      <c r="O7" s="133"/>
      <c r="P7" s="133"/>
      <c r="Q7" s="133"/>
      <c r="R7" s="133"/>
      <c r="S7" s="133"/>
      <c r="T7" s="133"/>
      <c r="U7" s="136"/>
      <c r="V7" s="133"/>
      <c r="W7" s="133"/>
      <c r="X7" s="133"/>
      <c r="Y7" s="133"/>
      <c r="Z7" s="133"/>
      <c r="AA7" s="119"/>
    </row>
    <row r="8" spans="1:27" ht="15" x14ac:dyDescent="0.35">
      <c r="A8" s="142"/>
      <c r="B8" s="136"/>
      <c r="C8" s="136"/>
      <c r="D8" s="136"/>
      <c r="E8" s="136"/>
      <c r="F8" s="136"/>
      <c r="G8" s="143" t="s">
        <v>5</v>
      </c>
      <c r="H8" s="192">
        <v>14.8</v>
      </c>
      <c r="I8" s="144" t="s">
        <v>10</v>
      </c>
      <c r="J8" s="133"/>
      <c r="K8" s="133"/>
      <c r="L8" s="133"/>
      <c r="M8" s="133"/>
      <c r="N8" s="133"/>
      <c r="O8" s="133"/>
      <c r="P8" s="133"/>
      <c r="Q8" s="133"/>
      <c r="R8" s="133"/>
      <c r="S8" s="133"/>
      <c r="T8" s="133"/>
      <c r="U8" s="136"/>
      <c r="V8" s="133"/>
      <c r="W8" s="133"/>
      <c r="X8" s="133"/>
      <c r="Y8" s="133"/>
      <c r="Z8" s="133"/>
      <c r="AA8" s="119"/>
    </row>
    <row r="9" spans="1:27" ht="15" x14ac:dyDescent="0.35">
      <c r="A9" s="142"/>
      <c r="B9" s="136"/>
      <c r="C9" s="136"/>
      <c r="D9" s="136"/>
      <c r="E9" s="136"/>
      <c r="F9" s="136"/>
      <c r="G9" s="143" t="s">
        <v>6</v>
      </c>
      <c r="H9" s="192">
        <v>18</v>
      </c>
      <c r="I9" s="144" t="s">
        <v>10</v>
      </c>
      <c r="J9" s="133"/>
      <c r="K9" s="133"/>
      <c r="L9" s="133"/>
      <c r="M9" s="133"/>
      <c r="N9" s="133"/>
      <c r="O9" s="133"/>
      <c r="P9" s="133"/>
      <c r="Q9" s="133"/>
      <c r="R9" s="133"/>
      <c r="S9" s="133"/>
      <c r="T9" s="133"/>
      <c r="U9" s="136"/>
      <c r="V9" s="133"/>
      <c r="W9" s="133"/>
      <c r="X9" s="133"/>
      <c r="Y9" s="133"/>
      <c r="Z9" s="133"/>
      <c r="AA9" s="119"/>
    </row>
    <row r="10" spans="1:27" ht="15" x14ac:dyDescent="0.35">
      <c r="A10" s="142"/>
      <c r="B10" s="136"/>
      <c r="C10" s="136"/>
      <c r="D10" s="136"/>
      <c r="E10" s="136"/>
      <c r="F10" s="136"/>
      <c r="G10" s="143" t="s">
        <v>7</v>
      </c>
      <c r="H10" s="192">
        <v>12</v>
      </c>
      <c r="I10" s="144" t="s">
        <v>10</v>
      </c>
      <c r="J10" s="133"/>
      <c r="K10" s="133"/>
      <c r="L10" s="133"/>
      <c r="M10" s="133"/>
      <c r="N10" s="133"/>
      <c r="O10" s="133"/>
      <c r="P10" s="133"/>
      <c r="Q10" s="133"/>
      <c r="R10" s="133"/>
      <c r="S10" s="133"/>
      <c r="T10" s="133"/>
      <c r="U10" s="136"/>
      <c r="V10" s="133"/>
      <c r="W10" s="133"/>
      <c r="X10" s="133"/>
      <c r="Y10" s="133"/>
      <c r="Z10" s="133"/>
      <c r="AA10" s="119"/>
    </row>
    <row r="11" spans="1:27" ht="15" x14ac:dyDescent="0.35">
      <c r="A11" s="142"/>
      <c r="B11" s="136"/>
      <c r="C11" s="136"/>
      <c r="D11" s="136"/>
      <c r="E11" s="136"/>
      <c r="F11" s="136"/>
      <c r="G11" s="143" t="s">
        <v>8</v>
      </c>
      <c r="H11" s="192">
        <v>8</v>
      </c>
      <c r="I11" s="144" t="s">
        <v>11</v>
      </c>
      <c r="J11" s="133"/>
      <c r="K11" s="133"/>
      <c r="L11" s="133"/>
      <c r="M11" s="133"/>
      <c r="N11" s="133"/>
      <c r="O11" s="133"/>
      <c r="P11" s="133"/>
      <c r="Q11" s="133"/>
      <c r="R11" s="133"/>
      <c r="S11" s="133"/>
      <c r="T11" s="133"/>
      <c r="U11" s="136"/>
      <c r="V11" s="133"/>
      <c r="W11" s="133"/>
      <c r="X11" s="133"/>
      <c r="Y11" s="133"/>
      <c r="Z11" s="133"/>
      <c r="AA11" s="119"/>
    </row>
    <row r="12" spans="1:27" ht="15" x14ac:dyDescent="0.35">
      <c r="A12" s="142"/>
      <c r="B12" s="136"/>
      <c r="C12" s="136"/>
      <c r="D12" s="136"/>
      <c r="E12" s="136"/>
      <c r="F12" s="136"/>
      <c r="G12" s="143" t="s">
        <v>9</v>
      </c>
      <c r="H12" s="192">
        <v>1000</v>
      </c>
      <c r="I12" s="144" t="s">
        <v>12</v>
      </c>
      <c r="J12" s="133"/>
      <c r="K12" s="133"/>
      <c r="L12" s="133"/>
      <c r="M12" s="133"/>
      <c r="N12" s="133"/>
      <c r="O12" s="133"/>
      <c r="P12" s="133"/>
      <c r="Q12" s="133"/>
      <c r="R12" s="133"/>
      <c r="S12" s="133"/>
      <c r="T12" s="133"/>
      <c r="U12" s="136"/>
      <c r="V12" s="133"/>
      <c r="W12" s="133"/>
      <c r="X12" s="133"/>
      <c r="Y12" s="133"/>
      <c r="Z12" s="133"/>
      <c r="AA12" s="119"/>
    </row>
    <row r="13" spans="1:27" ht="15" x14ac:dyDescent="0.35">
      <c r="A13" s="142"/>
      <c r="B13" s="136"/>
      <c r="C13" s="136"/>
      <c r="D13" s="136"/>
      <c r="E13" s="136"/>
      <c r="F13" s="136"/>
      <c r="G13" s="143" t="s">
        <v>72</v>
      </c>
      <c r="H13" s="193">
        <f>RT/1000</f>
        <v>21.145</v>
      </c>
      <c r="I13" s="144" t="s">
        <v>73</v>
      </c>
      <c r="J13" s="133"/>
      <c r="K13" s="133"/>
      <c r="L13" s="133"/>
      <c r="M13" s="133"/>
      <c r="N13" s="133"/>
      <c r="O13" s="133"/>
      <c r="P13" s="133"/>
      <c r="Q13" s="133"/>
      <c r="R13" s="133"/>
      <c r="S13" s="133"/>
      <c r="T13" s="133"/>
      <c r="U13" s="136"/>
      <c r="V13" s="133"/>
      <c r="W13" s="133"/>
      <c r="X13" s="133"/>
      <c r="Y13" s="133"/>
      <c r="Z13" s="133"/>
      <c r="AA13" s="119"/>
    </row>
    <row r="14" spans="1:27" ht="15" x14ac:dyDescent="0.35">
      <c r="A14" s="142"/>
      <c r="B14" s="136"/>
      <c r="C14" s="136"/>
      <c r="D14" s="136"/>
      <c r="E14" s="136"/>
      <c r="F14" s="136"/>
      <c r="G14" s="143" t="s">
        <v>14</v>
      </c>
      <c r="H14" s="194">
        <f>POUT</f>
        <v>96</v>
      </c>
      <c r="I14" s="144" t="s">
        <v>38</v>
      </c>
      <c r="J14" s="133"/>
      <c r="K14" s="133"/>
      <c r="L14" s="133"/>
      <c r="M14" s="133"/>
      <c r="N14" s="133"/>
      <c r="O14" s="133"/>
      <c r="P14" s="133"/>
      <c r="Q14" s="133"/>
      <c r="R14" s="133"/>
      <c r="S14" s="133"/>
      <c r="T14" s="133"/>
      <c r="U14" s="136"/>
      <c r="V14" s="133"/>
      <c r="W14" s="133"/>
      <c r="X14" s="133"/>
      <c r="Y14" s="133"/>
      <c r="Z14" s="133"/>
      <c r="AA14" s="119"/>
    </row>
    <row r="15" spans="1:27" ht="15" x14ac:dyDescent="0.35">
      <c r="A15" s="145"/>
      <c r="B15" s="146"/>
      <c r="C15" s="146"/>
      <c r="D15" s="146"/>
      <c r="E15" s="146"/>
      <c r="F15" s="136"/>
      <c r="G15" s="147" t="s">
        <v>588</v>
      </c>
      <c r="H15" s="221">
        <f>Dc_max_IC*100</f>
        <v>90</v>
      </c>
      <c r="I15" s="144" t="s">
        <v>13</v>
      </c>
      <c r="J15" s="133"/>
      <c r="K15" s="133"/>
      <c r="L15" s="133"/>
      <c r="M15" s="133"/>
      <c r="N15" s="133"/>
      <c r="O15" s="133"/>
      <c r="P15" s="133"/>
      <c r="Q15" s="133"/>
      <c r="R15" s="133"/>
      <c r="S15" s="133"/>
      <c r="T15" s="133"/>
      <c r="U15" s="136"/>
      <c r="V15" s="133"/>
      <c r="W15" s="133"/>
      <c r="X15" s="133"/>
      <c r="Y15" s="133"/>
      <c r="Z15" s="133"/>
      <c r="AA15" s="119"/>
    </row>
    <row r="16" spans="1:27" ht="15.6" thickBot="1" x14ac:dyDescent="0.4">
      <c r="A16" s="148"/>
      <c r="B16" s="149"/>
      <c r="C16" s="149"/>
      <c r="D16" s="149"/>
      <c r="E16" s="149"/>
      <c r="F16" s="150"/>
      <c r="G16" s="151" t="s">
        <v>425</v>
      </c>
      <c r="H16" s="222">
        <f>Variable_Management!B19*100</f>
        <v>60</v>
      </c>
      <c r="I16" s="152" t="s">
        <v>13</v>
      </c>
      <c r="J16" s="133"/>
      <c r="K16" s="133"/>
      <c r="L16" s="133"/>
      <c r="M16" s="133"/>
      <c r="N16" s="133"/>
      <c r="O16" s="133"/>
      <c r="P16" s="133"/>
      <c r="Q16" s="133"/>
      <c r="R16" s="133"/>
      <c r="S16" s="133"/>
      <c r="T16" s="133"/>
      <c r="U16" s="136"/>
      <c r="V16" s="133"/>
      <c r="W16" s="133"/>
      <c r="X16" s="133"/>
      <c r="Y16" s="133"/>
      <c r="Z16" s="133"/>
      <c r="AA16" s="119"/>
    </row>
    <row r="17" spans="1:27" x14ac:dyDescent="0.3">
      <c r="A17" s="146"/>
      <c r="B17" s="153"/>
      <c r="C17" s="153"/>
      <c r="D17" s="153"/>
      <c r="E17" s="146"/>
      <c r="F17" s="133"/>
      <c r="G17" s="134"/>
      <c r="H17" s="133"/>
      <c r="I17" s="133"/>
      <c r="J17" s="133"/>
      <c r="K17" s="133"/>
      <c r="L17" s="133"/>
      <c r="M17" s="133"/>
      <c r="N17" s="133"/>
      <c r="O17" s="133"/>
      <c r="P17" s="133"/>
      <c r="Q17" s="133"/>
      <c r="R17" s="133"/>
      <c r="S17" s="133"/>
      <c r="T17" s="133"/>
      <c r="U17" s="136"/>
      <c r="V17" s="133"/>
      <c r="W17" s="133"/>
      <c r="X17" s="133"/>
      <c r="Y17" s="133"/>
      <c r="Z17" s="133"/>
      <c r="AA17" s="119"/>
    </row>
    <row r="18" spans="1:27" ht="15" thickBot="1" x14ac:dyDescent="0.35">
      <c r="A18" s="154" t="s">
        <v>74</v>
      </c>
      <c r="B18" s="153"/>
      <c r="C18" s="153"/>
      <c r="D18" s="153"/>
      <c r="E18" s="146"/>
      <c r="F18" s="133"/>
      <c r="G18" s="134"/>
      <c r="H18" s="133"/>
      <c r="I18" s="133"/>
      <c r="J18" s="133"/>
      <c r="K18" s="133"/>
      <c r="L18" s="133"/>
      <c r="M18" s="133"/>
      <c r="N18" s="133"/>
      <c r="O18" s="133"/>
      <c r="P18" s="133"/>
      <c r="Q18" s="133"/>
      <c r="R18" s="133"/>
      <c r="S18" s="133"/>
      <c r="T18" s="133"/>
      <c r="U18" s="136"/>
      <c r="V18" s="133"/>
      <c r="W18" s="133"/>
      <c r="X18" s="133"/>
      <c r="Y18" s="133"/>
      <c r="Z18" s="133"/>
      <c r="AA18" s="119"/>
    </row>
    <row r="19" spans="1:27" x14ac:dyDescent="0.3">
      <c r="A19" s="163"/>
      <c r="B19" s="155"/>
      <c r="C19" s="155"/>
      <c r="D19" s="155"/>
      <c r="E19" s="155"/>
      <c r="F19" s="139"/>
      <c r="G19" s="227" t="s">
        <v>519</v>
      </c>
      <c r="H19" s="226" t="str">
        <f>IF(Variable_Management!B21=0, "CCM","DCM")</f>
        <v>CCM</v>
      </c>
      <c r="I19" s="141"/>
      <c r="J19" s="133"/>
      <c r="K19" s="133"/>
      <c r="L19" s="133"/>
      <c r="M19" s="133"/>
      <c r="N19" s="133"/>
      <c r="O19" s="133"/>
      <c r="P19" s="133"/>
      <c r="Q19" s="133"/>
      <c r="R19" s="133"/>
      <c r="S19" s="133"/>
      <c r="T19" s="133"/>
      <c r="U19" s="136"/>
      <c r="V19" s="133"/>
      <c r="W19" s="133"/>
      <c r="X19" s="133"/>
      <c r="Y19" s="133"/>
      <c r="Z19" s="133"/>
      <c r="AA19" s="119"/>
    </row>
    <row r="20" spans="1:27" ht="15" x14ac:dyDescent="0.35">
      <c r="A20" s="145"/>
      <c r="B20" s="146"/>
      <c r="C20" s="146"/>
      <c r="D20" s="146"/>
      <c r="E20" s="146"/>
      <c r="F20" s="136"/>
      <c r="G20" s="143" t="s">
        <v>426</v>
      </c>
      <c r="H20" s="192">
        <v>40</v>
      </c>
      <c r="I20" s="144" t="s">
        <v>13</v>
      </c>
      <c r="J20" s="133"/>
      <c r="K20" s="133"/>
      <c r="L20" s="133"/>
      <c r="M20" s="133"/>
      <c r="N20" s="133"/>
      <c r="O20" s="133"/>
      <c r="P20" s="133"/>
      <c r="Q20" s="133"/>
      <c r="R20" s="133"/>
      <c r="S20" s="133"/>
      <c r="T20" s="133"/>
      <c r="U20" s="136"/>
      <c r="V20" s="133"/>
      <c r="W20" s="133"/>
      <c r="X20" s="133"/>
      <c r="Y20" s="133"/>
      <c r="Z20" s="133"/>
      <c r="AA20" s="119"/>
    </row>
    <row r="21" spans="1:27" ht="15" x14ac:dyDescent="0.35">
      <c r="A21" s="142"/>
      <c r="B21" s="136"/>
      <c r="C21" s="136"/>
      <c r="D21" s="136"/>
      <c r="E21" s="136"/>
      <c r="F21" s="136"/>
      <c r="G21" s="143" t="s">
        <v>397</v>
      </c>
      <c r="H21" s="199">
        <f>Variable_Management!B38*10^6</f>
        <v>1.2770522388059702</v>
      </c>
      <c r="I21" s="144" t="s">
        <v>90</v>
      </c>
      <c r="J21" s="133"/>
      <c r="K21" s="133"/>
      <c r="L21" s="133"/>
      <c r="M21" s="133"/>
      <c r="N21" s="133"/>
      <c r="O21" s="133"/>
      <c r="P21" s="133"/>
      <c r="Q21" s="133"/>
      <c r="R21" s="133"/>
      <c r="S21" s="133"/>
      <c r="T21" s="133"/>
      <c r="U21" s="136"/>
      <c r="V21" s="133"/>
      <c r="W21" s="133"/>
      <c r="X21" s="133"/>
      <c r="Y21" s="133"/>
      <c r="Z21" s="133"/>
      <c r="AA21" s="119"/>
    </row>
    <row r="22" spans="1:27" ht="15" x14ac:dyDescent="0.35">
      <c r="A22" s="142"/>
      <c r="B22" s="136"/>
      <c r="C22" s="136"/>
      <c r="D22" s="136"/>
      <c r="E22" s="136"/>
      <c r="F22" s="136"/>
      <c r="G22" s="143" t="s">
        <v>398</v>
      </c>
      <c r="H22" s="192">
        <v>3.3</v>
      </c>
      <c r="I22" s="144" t="s">
        <v>90</v>
      </c>
      <c r="J22" s="133"/>
      <c r="K22" s="133"/>
      <c r="L22" s="133"/>
      <c r="M22" s="133"/>
      <c r="N22" s="133"/>
      <c r="O22" s="133"/>
      <c r="P22" s="133"/>
      <c r="Q22" s="133"/>
      <c r="R22" s="133"/>
      <c r="S22" s="133"/>
      <c r="T22" s="133"/>
      <c r="U22" s="136"/>
      <c r="V22" s="133"/>
      <c r="W22" s="133"/>
      <c r="X22" s="133"/>
      <c r="Y22" s="133"/>
      <c r="Z22" s="133"/>
      <c r="AA22" s="119"/>
    </row>
    <row r="23" spans="1:27" ht="15.6" thickBot="1" x14ac:dyDescent="0.4">
      <c r="A23" s="156"/>
      <c r="B23" s="150"/>
      <c r="C23" s="150"/>
      <c r="D23" s="150"/>
      <c r="E23" s="150"/>
      <c r="F23" s="150"/>
      <c r="G23" s="157" t="s">
        <v>93</v>
      </c>
      <c r="H23" s="195">
        <f>ISW_peak_VIN_min</f>
        <v>21.454545454545453</v>
      </c>
      <c r="I23" s="152" t="s">
        <v>11</v>
      </c>
      <c r="J23" s="133"/>
      <c r="K23" s="133"/>
      <c r="L23" s="133"/>
      <c r="M23" s="133"/>
      <c r="N23" s="133"/>
      <c r="O23" s="133"/>
      <c r="P23" s="133"/>
      <c r="Q23" s="133"/>
      <c r="R23" s="133"/>
      <c r="S23" s="133"/>
      <c r="T23" s="133"/>
      <c r="U23" s="136"/>
      <c r="V23" s="133"/>
      <c r="W23" s="133"/>
      <c r="X23" s="133"/>
      <c r="Y23" s="133"/>
      <c r="Z23" s="133"/>
      <c r="AA23" s="119"/>
    </row>
    <row r="24" spans="1:27" x14ac:dyDescent="0.3">
      <c r="A24" s="133"/>
      <c r="B24" s="133"/>
      <c r="C24" s="133"/>
      <c r="D24" s="133"/>
      <c r="E24" s="133"/>
      <c r="F24" s="133"/>
      <c r="G24" s="134"/>
      <c r="H24" s="133"/>
      <c r="I24" s="133"/>
      <c r="J24" s="133"/>
      <c r="K24" s="133"/>
      <c r="L24" s="133"/>
      <c r="M24" s="133"/>
      <c r="N24" s="133"/>
      <c r="O24" s="133"/>
      <c r="P24" s="133"/>
      <c r="Q24" s="133"/>
      <c r="R24" s="133"/>
      <c r="S24" s="133"/>
      <c r="T24" s="133"/>
      <c r="U24" s="136"/>
      <c r="V24" s="133"/>
      <c r="W24" s="133"/>
      <c r="X24" s="133"/>
      <c r="Y24" s="133"/>
      <c r="Z24" s="133"/>
      <c r="AA24" s="119"/>
    </row>
    <row r="25" spans="1:27" ht="15" thickBot="1" x14ac:dyDescent="0.35">
      <c r="A25" s="154" t="s">
        <v>104</v>
      </c>
      <c r="B25" s="133"/>
      <c r="C25" s="133"/>
      <c r="D25" s="133"/>
      <c r="E25" s="133"/>
      <c r="F25" s="133"/>
      <c r="G25" s="134"/>
      <c r="H25" s="133"/>
      <c r="I25" s="133"/>
      <c r="J25" s="133"/>
      <c r="K25" s="133"/>
      <c r="L25" s="133"/>
      <c r="M25" s="133"/>
      <c r="N25" s="133"/>
      <c r="O25" s="133"/>
      <c r="P25" s="133"/>
      <c r="Q25" s="133"/>
      <c r="R25" s="133"/>
      <c r="S25" s="133"/>
      <c r="T25" s="133"/>
      <c r="U25" s="136"/>
      <c r="V25" s="133"/>
      <c r="W25" s="133"/>
      <c r="X25" s="133"/>
      <c r="Y25" s="133"/>
      <c r="Z25" s="133"/>
      <c r="AA25" s="119"/>
    </row>
    <row r="26" spans="1:27" x14ac:dyDescent="0.3">
      <c r="A26" s="138"/>
      <c r="B26" s="139"/>
      <c r="C26" s="139"/>
      <c r="D26" s="139"/>
      <c r="E26" s="139"/>
      <c r="F26" s="139"/>
      <c r="G26" s="140" t="s">
        <v>427</v>
      </c>
      <c r="H26" s="191">
        <v>15</v>
      </c>
      <c r="I26" s="141" t="s">
        <v>13</v>
      </c>
      <c r="J26" s="133"/>
      <c r="K26" s="133"/>
      <c r="L26" s="133"/>
      <c r="M26" s="133"/>
      <c r="N26" s="133"/>
      <c r="O26" s="133"/>
      <c r="P26" s="133"/>
      <c r="Q26" s="133"/>
      <c r="R26" s="133"/>
      <c r="S26" s="133"/>
      <c r="T26" s="133"/>
      <c r="U26" s="136"/>
      <c r="V26" s="133"/>
      <c r="W26" s="133"/>
      <c r="X26" s="133"/>
      <c r="Y26" s="133"/>
      <c r="Z26" s="133"/>
      <c r="AA26" s="119"/>
    </row>
    <row r="27" spans="1:27" ht="15.6" x14ac:dyDescent="0.35">
      <c r="A27" s="142"/>
      <c r="B27" s="136"/>
      <c r="C27" s="136"/>
      <c r="D27" s="136"/>
      <c r="E27" s="136"/>
      <c r="F27" s="136"/>
      <c r="G27" s="158" t="s">
        <v>589</v>
      </c>
      <c r="H27" s="193">
        <f>Ipk_selected</f>
        <v>24.672727272727268</v>
      </c>
      <c r="I27" s="144" t="s">
        <v>11</v>
      </c>
      <c r="J27" s="133"/>
      <c r="K27" s="133"/>
      <c r="L27" s="133"/>
      <c r="M27" s="133"/>
      <c r="N27" s="133"/>
      <c r="O27" s="133"/>
      <c r="P27" s="133"/>
      <c r="Q27" s="133"/>
      <c r="R27" s="133"/>
      <c r="S27" s="133"/>
      <c r="T27" s="133"/>
      <c r="U27" s="136"/>
      <c r="V27" s="133"/>
      <c r="W27" s="133"/>
      <c r="X27" s="133"/>
      <c r="Y27" s="133"/>
      <c r="Z27" s="133"/>
      <c r="AA27" s="119"/>
    </row>
    <row r="28" spans="1:27" ht="15.6" x14ac:dyDescent="0.35">
      <c r="A28" s="142"/>
      <c r="B28" s="136"/>
      <c r="C28" s="136"/>
      <c r="D28" s="136"/>
      <c r="E28" s="136"/>
      <c r="F28" s="136"/>
      <c r="G28" s="158" t="s">
        <v>432</v>
      </c>
      <c r="H28" s="193">
        <f>Variable_Management!B115*1000</f>
        <v>4.0530582166543851</v>
      </c>
      <c r="I28" s="144" t="s">
        <v>92</v>
      </c>
      <c r="J28" s="133"/>
      <c r="K28" s="133"/>
      <c r="L28" s="133"/>
      <c r="M28" s="133"/>
      <c r="N28" s="133"/>
      <c r="O28" s="133"/>
      <c r="P28" s="133"/>
      <c r="Q28" s="133"/>
      <c r="R28" s="133"/>
      <c r="S28" s="133"/>
      <c r="T28" s="133"/>
      <c r="U28" s="136"/>
      <c r="V28" s="133"/>
      <c r="W28" s="133"/>
      <c r="X28" s="133"/>
      <c r="Y28" s="133"/>
      <c r="Z28" s="133"/>
      <c r="AA28" s="119"/>
    </row>
    <row r="29" spans="1:27" ht="15.6" x14ac:dyDescent="0.35">
      <c r="A29" s="142"/>
      <c r="B29" s="136"/>
      <c r="C29" s="136"/>
      <c r="D29" s="136"/>
      <c r="E29" s="136"/>
      <c r="F29" s="136"/>
      <c r="G29" s="158" t="s">
        <v>134</v>
      </c>
      <c r="H29" s="196">
        <f>Variable_Management!B116</f>
        <v>0</v>
      </c>
      <c r="I29" s="159" t="s">
        <v>36</v>
      </c>
      <c r="J29" s="133"/>
      <c r="K29" s="133"/>
      <c r="L29" s="133"/>
      <c r="M29" s="133"/>
      <c r="N29" s="133"/>
      <c r="O29" s="133"/>
      <c r="P29" s="133"/>
      <c r="Q29" s="133"/>
      <c r="R29" s="133"/>
      <c r="S29" s="133"/>
      <c r="T29" s="133"/>
      <c r="U29" s="136"/>
      <c r="V29" s="133"/>
      <c r="W29" s="133"/>
      <c r="X29" s="133"/>
      <c r="Y29" s="133"/>
      <c r="Z29" s="133"/>
      <c r="AA29" s="119"/>
    </row>
    <row r="30" spans="1:27" ht="15.6" x14ac:dyDescent="0.35">
      <c r="A30" s="142"/>
      <c r="B30" s="136"/>
      <c r="C30" s="136"/>
      <c r="D30" s="136"/>
      <c r="E30" s="136"/>
      <c r="F30" s="136"/>
      <c r="G30" s="158" t="s">
        <v>433</v>
      </c>
      <c r="H30" s="192">
        <v>4</v>
      </c>
      <c r="I30" s="144" t="s">
        <v>92</v>
      </c>
      <c r="J30" s="133"/>
      <c r="K30" s="133"/>
      <c r="L30" s="133"/>
      <c r="M30" s="133"/>
      <c r="N30" s="133"/>
      <c r="O30" s="133"/>
      <c r="P30" s="133"/>
      <c r="Q30" s="133"/>
      <c r="R30" s="133"/>
      <c r="S30" s="133"/>
      <c r="T30" s="133"/>
      <c r="U30" s="136"/>
      <c r="V30" s="133"/>
      <c r="W30" s="133"/>
      <c r="X30" s="133"/>
      <c r="Y30" s="133"/>
      <c r="Z30" s="133"/>
      <c r="AA30" s="119"/>
    </row>
    <row r="31" spans="1:27" ht="15.6" x14ac:dyDescent="0.35">
      <c r="A31" s="142"/>
      <c r="B31" s="136"/>
      <c r="C31" s="136"/>
      <c r="D31" s="136"/>
      <c r="E31" s="136"/>
      <c r="F31" s="136"/>
      <c r="G31" s="158" t="s">
        <v>137</v>
      </c>
      <c r="H31" s="192">
        <v>0</v>
      </c>
      <c r="I31" s="159" t="s">
        <v>36</v>
      </c>
      <c r="J31" s="133"/>
      <c r="K31" s="133"/>
      <c r="L31" s="133"/>
      <c r="M31" s="133"/>
      <c r="N31" s="133"/>
      <c r="O31" s="133"/>
      <c r="P31" s="133"/>
      <c r="Q31" s="133"/>
      <c r="R31" s="133"/>
      <c r="S31" s="133"/>
      <c r="T31" s="133"/>
      <c r="U31" s="136"/>
      <c r="V31" s="133"/>
      <c r="W31" s="133"/>
      <c r="X31" s="133"/>
      <c r="Y31" s="133"/>
      <c r="Z31" s="133"/>
      <c r="AA31" s="119"/>
    </row>
    <row r="32" spans="1:27" ht="15" thickBot="1" x14ac:dyDescent="0.35">
      <c r="A32" s="156"/>
      <c r="B32" s="150"/>
      <c r="C32" s="150"/>
      <c r="D32" s="150"/>
      <c r="E32" s="150"/>
      <c r="F32" s="150"/>
      <c r="G32" s="160" t="s">
        <v>553</v>
      </c>
      <c r="H32" s="197">
        <f>IL_pk_max</f>
        <v>25</v>
      </c>
      <c r="I32" s="161" t="s">
        <v>11</v>
      </c>
      <c r="J32" s="133"/>
      <c r="K32" s="133"/>
      <c r="L32" s="133"/>
      <c r="M32" s="133"/>
      <c r="N32" s="133"/>
      <c r="O32" s="133"/>
      <c r="P32" s="133"/>
      <c r="Q32" s="133"/>
      <c r="R32" s="133"/>
      <c r="S32" s="133"/>
      <c r="T32" s="133"/>
      <c r="U32" s="136"/>
      <c r="V32" s="133"/>
      <c r="W32" s="133"/>
      <c r="X32" s="133"/>
      <c r="Y32" s="133"/>
      <c r="Z32" s="133"/>
      <c r="AA32" s="119"/>
    </row>
    <row r="33" spans="1:27" x14ac:dyDescent="0.3">
      <c r="A33" s="133"/>
      <c r="B33" s="133"/>
      <c r="C33" s="133"/>
      <c r="D33" s="133"/>
      <c r="E33" s="133"/>
      <c r="F33" s="133"/>
      <c r="G33" s="134"/>
      <c r="H33" s="133"/>
      <c r="I33" s="133"/>
      <c r="J33" s="133"/>
      <c r="K33" s="133"/>
      <c r="L33" s="133"/>
      <c r="M33" s="133"/>
      <c r="N33" s="133"/>
      <c r="O33" s="133"/>
      <c r="P33" s="133"/>
      <c r="Q33" s="133"/>
      <c r="R33" s="133"/>
      <c r="S33" s="133"/>
      <c r="T33" s="133"/>
      <c r="U33" s="136"/>
      <c r="V33" s="133"/>
      <c r="W33" s="133"/>
      <c r="X33" s="133"/>
      <c r="Y33" s="133"/>
      <c r="Z33" s="133"/>
      <c r="AA33" s="119"/>
    </row>
    <row r="34" spans="1:27" ht="16.2" thickBot="1" x14ac:dyDescent="0.4">
      <c r="A34" s="154" t="s">
        <v>554</v>
      </c>
      <c r="B34" s="133"/>
      <c r="C34" s="133"/>
      <c r="D34" s="133"/>
      <c r="E34" s="133"/>
      <c r="F34" s="133"/>
      <c r="G34" s="134"/>
      <c r="H34" s="133"/>
      <c r="I34" s="133"/>
      <c r="J34" s="133"/>
      <c r="K34" s="133"/>
      <c r="L34" s="133"/>
      <c r="M34" s="133"/>
      <c r="N34" s="133"/>
      <c r="O34" s="133"/>
      <c r="P34" s="133"/>
      <c r="Q34" s="133"/>
      <c r="R34" s="133"/>
      <c r="S34" s="133"/>
      <c r="T34" s="133"/>
      <c r="U34" s="136"/>
      <c r="V34" s="133"/>
      <c r="W34" s="133"/>
      <c r="X34" s="133"/>
      <c r="Y34" s="133"/>
      <c r="Z34" s="133"/>
      <c r="AA34" s="119"/>
    </row>
    <row r="35" spans="1:27" ht="15.6" x14ac:dyDescent="0.35">
      <c r="A35" s="138"/>
      <c r="B35" s="139"/>
      <c r="C35" s="139"/>
      <c r="D35" s="139"/>
      <c r="E35" s="139"/>
      <c r="F35" s="139"/>
      <c r="G35" s="162" t="s">
        <v>555</v>
      </c>
      <c r="H35" s="233">
        <f>Cac_min*(10^6)</f>
        <v>5.333333333333333</v>
      </c>
      <c r="I35" s="141" t="s">
        <v>153</v>
      </c>
      <c r="J35" s="133"/>
      <c r="K35" s="133"/>
      <c r="L35" s="133"/>
      <c r="M35" s="133"/>
      <c r="N35" s="133"/>
      <c r="O35" s="133"/>
      <c r="P35" s="133"/>
      <c r="Q35" s="133"/>
      <c r="R35" s="133"/>
      <c r="S35" s="133"/>
      <c r="T35" s="133"/>
      <c r="U35" s="136"/>
      <c r="V35" s="133"/>
      <c r="W35" s="133"/>
      <c r="X35" s="133"/>
      <c r="Y35" s="133"/>
      <c r="Z35" s="133"/>
      <c r="AA35" s="119"/>
    </row>
    <row r="36" spans="1:27" ht="15.6" x14ac:dyDescent="0.35">
      <c r="A36" s="142"/>
      <c r="B36" s="136"/>
      <c r="C36" s="136"/>
      <c r="D36" s="136"/>
      <c r="E36" s="136"/>
      <c r="F36" s="136"/>
      <c r="G36" s="158" t="s">
        <v>556</v>
      </c>
      <c r="H36" s="192">
        <v>20</v>
      </c>
      <c r="I36" s="144" t="s">
        <v>153</v>
      </c>
      <c r="J36" s="133"/>
      <c r="K36" s="133"/>
      <c r="L36" s="133"/>
      <c r="M36" s="133"/>
      <c r="N36" s="133"/>
      <c r="O36" s="133"/>
      <c r="P36" s="133"/>
      <c r="Q36" s="133"/>
      <c r="R36" s="133"/>
      <c r="S36" s="133"/>
      <c r="T36" s="133"/>
      <c r="U36" s="136"/>
      <c r="V36" s="133"/>
      <c r="W36" s="133"/>
      <c r="X36" s="133"/>
      <c r="Y36" s="133"/>
      <c r="Z36" s="133"/>
      <c r="AA36" s="119"/>
    </row>
    <row r="37" spans="1:27" ht="16.2" thickBot="1" x14ac:dyDescent="0.4">
      <c r="A37" s="156"/>
      <c r="B37" s="150"/>
      <c r="C37" s="150"/>
      <c r="D37" s="150"/>
      <c r="E37" s="150"/>
      <c r="F37" s="150"/>
      <c r="G37" s="160" t="s">
        <v>557</v>
      </c>
      <c r="H37" s="197">
        <f>Variable_Management!B134</f>
        <v>9.7979589711327115</v>
      </c>
      <c r="I37" s="152" t="s">
        <v>11</v>
      </c>
      <c r="J37" s="133"/>
      <c r="K37" s="133"/>
      <c r="L37" s="133"/>
      <c r="M37" s="133"/>
      <c r="N37" s="133"/>
      <c r="O37" s="133"/>
      <c r="P37" s="133"/>
      <c r="Q37" s="133"/>
      <c r="R37" s="133"/>
      <c r="S37" s="133"/>
      <c r="T37" s="133"/>
      <c r="U37" s="136"/>
      <c r="V37" s="133"/>
      <c r="W37" s="133"/>
      <c r="X37" s="133"/>
      <c r="Y37" s="133"/>
      <c r="Z37" s="133"/>
      <c r="AA37" s="119"/>
    </row>
    <row r="38" spans="1:27" x14ac:dyDescent="0.3">
      <c r="A38" s="133"/>
      <c r="B38" s="133"/>
      <c r="C38" s="133"/>
      <c r="D38" s="133"/>
      <c r="E38" s="133"/>
      <c r="F38" s="133"/>
      <c r="G38" s="134"/>
      <c r="H38" s="133"/>
      <c r="I38" s="133"/>
      <c r="J38" s="133"/>
      <c r="K38" s="133"/>
      <c r="L38" s="133"/>
      <c r="M38" s="133"/>
      <c r="N38" s="133"/>
      <c r="O38" s="133"/>
      <c r="P38" s="133"/>
      <c r="Q38" s="133"/>
      <c r="R38" s="133"/>
      <c r="S38" s="133"/>
      <c r="T38" s="133"/>
      <c r="U38" s="136"/>
      <c r="V38" s="133"/>
      <c r="W38" s="133"/>
      <c r="X38" s="133"/>
      <c r="Y38" s="133"/>
      <c r="Z38" s="133"/>
      <c r="AA38" s="119"/>
    </row>
    <row r="39" spans="1:27" ht="15" thickBot="1" x14ac:dyDescent="0.35">
      <c r="A39" s="154" t="s">
        <v>558</v>
      </c>
      <c r="B39" s="133"/>
      <c r="C39" s="133"/>
      <c r="D39" s="133"/>
      <c r="E39" s="133"/>
      <c r="F39" s="133"/>
      <c r="G39" s="134"/>
      <c r="H39" s="133"/>
      <c r="I39" s="133"/>
      <c r="J39" s="133"/>
      <c r="K39" s="133"/>
      <c r="L39" s="133"/>
      <c r="M39" s="133"/>
      <c r="N39" s="133"/>
      <c r="O39" s="133"/>
      <c r="P39" s="133"/>
      <c r="Q39" s="133"/>
      <c r="R39" s="133"/>
      <c r="S39" s="133"/>
      <c r="T39" s="133"/>
      <c r="U39" s="136"/>
      <c r="V39" s="133"/>
      <c r="W39" s="133"/>
      <c r="X39" s="133"/>
      <c r="Y39" s="133"/>
      <c r="Z39" s="133"/>
      <c r="AA39" s="119"/>
    </row>
    <row r="40" spans="1:27" ht="15.6" x14ac:dyDescent="0.35">
      <c r="A40" s="138"/>
      <c r="B40" s="139"/>
      <c r="C40" s="139"/>
      <c r="D40" s="139"/>
      <c r="E40" s="139"/>
      <c r="F40" s="139"/>
      <c r="G40" s="162" t="s">
        <v>468</v>
      </c>
      <c r="H40" s="191">
        <v>750</v>
      </c>
      <c r="I40" s="141" t="s">
        <v>151</v>
      </c>
      <c r="J40" s="133"/>
      <c r="K40" s="133"/>
      <c r="L40" s="133"/>
      <c r="M40" s="133"/>
      <c r="N40" s="133"/>
      <c r="O40" s="133"/>
      <c r="P40" s="133"/>
      <c r="Q40" s="133"/>
      <c r="R40" s="133"/>
      <c r="S40" s="133"/>
      <c r="T40" s="133"/>
      <c r="U40" s="136"/>
      <c r="V40" s="133"/>
      <c r="W40" s="133"/>
      <c r="X40" s="133"/>
      <c r="Y40" s="133"/>
      <c r="Z40" s="133"/>
      <c r="AA40" s="119"/>
    </row>
    <row r="41" spans="1:27" x14ac:dyDescent="0.3">
      <c r="A41" s="142"/>
      <c r="B41" s="136"/>
      <c r="C41" s="136"/>
      <c r="D41" s="136"/>
      <c r="E41" s="136"/>
      <c r="F41" s="136"/>
      <c r="G41" s="158" t="s">
        <v>152</v>
      </c>
      <c r="H41" s="193">
        <f>Cout_min*10^6</f>
        <v>263.99999999999989</v>
      </c>
      <c r="I41" s="144" t="s">
        <v>153</v>
      </c>
      <c r="J41" s="133"/>
      <c r="K41" s="133"/>
      <c r="L41" s="133"/>
      <c r="M41" s="133"/>
      <c r="N41" s="133"/>
      <c r="O41" s="133"/>
      <c r="P41" s="133"/>
      <c r="Q41" s="133"/>
      <c r="R41" s="133"/>
      <c r="S41" s="133"/>
      <c r="T41" s="133"/>
      <c r="U41" s="136"/>
      <c r="V41" s="133"/>
      <c r="W41" s="133"/>
      <c r="X41" s="133"/>
      <c r="Y41" s="133"/>
      <c r="Z41" s="133"/>
      <c r="AA41" s="119"/>
    </row>
    <row r="42" spans="1:27" ht="15.6" x14ac:dyDescent="0.35">
      <c r="A42" s="142"/>
      <c r="B42" s="136"/>
      <c r="C42" s="136"/>
      <c r="D42" s="136"/>
      <c r="E42" s="136"/>
      <c r="F42" s="136"/>
      <c r="G42" s="158" t="s">
        <v>160</v>
      </c>
      <c r="H42" s="193">
        <f>IRMS_COUT</f>
        <v>9.7979589711327115</v>
      </c>
      <c r="I42" s="144" t="s">
        <v>11</v>
      </c>
      <c r="J42" s="133"/>
      <c r="K42" s="133"/>
      <c r="L42" s="133"/>
      <c r="M42" s="133"/>
      <c r="N42" s="133"/>
      <c r="O42" s="133"/>
      <c r="P42" s="133"/>
      <c r="Q42" s="133"/>
      <c r="R42" s="133"/>
      <c r="S42" s="133"/>
      <c r="T42" s="133"/>
      <c r="U42" s="136"/>
      <c r="V42" s="133"/>
      <c r="W42" s="133"/>
      <c r="X42" s="133"/>
      <c r="Y42" s="133"/>
      <c r="Z42" s="133"/>
      <c r="AA42" s="119"/>
    </row>
    <row r="43" spans="1:27" ht="15.6" x14ac:dyDescent="0.35">
      <c r="A43" s="142"/>
      <c r="B43" s="136"/>
      <c r="C43" s="136"/>
      <c r="D43" s="136"/>
      <c r="E43" s="136"/>
      <c r="F43" s="136"/>
      <c r="G43" s="158" t="s">
        <v>154</v>
      </c>
      <c r="H43" s="192">
        <v>500</v>
      </c>
      <c r="I43" s="144" t="s">
        <v>153</v>
      </c>
      <c r="J43" s="133"/>
      <c r="K43" s="133"/>
      <c r="L43" s="133"/>
      <c r="M43" s="133"/>
      <c r="N43" s="133"/>
      <c r="O43" s="133"/>
      <c r="P43" s="133"/>
      <c r="Q43" s="133"/>
      <c r="R43" s="133"/>
      <c r="S43" s="133"/>
      <c r="T43" s="133"/>
      <c r="U43" s="136"/>
      <c r="V43" s="133"/>
      <c r="W43" s="133"/>
      <c r="X43" s="133"/>
      <c r="Y43" s="133"/>
      <c r="Z43" s="133"/>
      <c r="AA43" s="119"/>
    </row>
    <row r="44" spans="1:27" ht="16.2" thickBot="1" x14ac:dyDescent="0.4">
      <c r="A44" s="156"/>
      <c r="B44" s="150"/>
      <c r="C44" s="150"/>
      <c r="D44" s="150"/>
      <c r="E44" s="150"/>
      <c r="F44" s="150"/>
      <c r="G44" s="160" t="s">
        <v>162</v>
      </c>
      <c r="H44" s="198">
        <v>2</v>
      </c>
      <c r="I44" s="152" t="s">
        <v>92</v>
      </c>
      <c r="J44" s="133"/>
      <c r="K44" s="133"/>
      <c r="L44" s="133"/>
      <c r="M44" s="133"/>
      <c r="N44" s="133"/>
      <c r="O44" s="133"/>
      <c r="P44" s="133"/>
      <c r="Q44" s="133"/>
      <c r="R44" s="133"/>
      <c r="S44" s="133"/>
      <c r="T44" s="133"/>
      <c r="U44" s="136"/>
      <c r="V44" s="133"/>
      <c r="W44" s="133"/>
      <c r="X44" s="133"/>
      <c r="Y44" s="133"/>
      <c r="Z44" s="133"/>
      <c r="AA44" s="119"/>
    </row>
    <row r="45" spans="1:27" x14ac:dyDescent="0.3">
      <c r="A45" s="133"/>
      <c r="B45" s="133"/>
      <c r="C45" s="133"/>
      <c r="D45" s="133"/>
      <c r="E45" s="133"/>
      <c r="F45" s="133"/>
      <c r="G45" s="134"/>
      <c r="H45" s="133"/>
      <c r="I45" s="133"/>
      <c r="J45" s="133"/>
      <c r="K45" s="133"/>
      <c r="L45" s="133"/>
      <c r="M45" s="133"/>
      <c r="N45" s="133"/>
      <c r="O45" s="133"/>
      <c r="P45" s="133"/>
      <c r="Q45" s="133"/>
      <c r="R45" s="133"/>
      <c r="S45" s="133"/>
      <c r="T45" s="133"/>
      <c r="U45" s="136"/>
      <c r="V45" s="133"/>
      <c r="W45" s="133"/>
      <c r="X45" s="133"/>
      <c r="Y45" s="133"/>
      <c r="Z45" s="133"/>
      <c r="AA45" s="119"/>
    </row>
    <row r="46" spans="1:27" ht="15" thickBot="1" x14ac:dyDescent="0.35">
      <c r="A46" s="154" t="s">
        <v>559</v>
      </c>
      <c r="B46" s="133"/>
      <c r="C46" s="133"/>
      <c r="D46" s="133"/>
      <c r="E46" s="133"/>
      <c r="F46" s="133"/>
      <c r="G46" s="134"/>
      <c r="H46" s="133"/>
      <c r="I46" s="133"/>
      <c r="J46" s="133"/>
      <c r="K46" s="133"/>
      <c r="L46" s="133"/>
      <c r="M46" s="133"/>
      <c r="N46" s="133"/>
      <c r="O46" s="133"/>
      <c r="P46" s="133"/>
      <c r="Q46" s="133"/>
      <c r="R46" s="133"/>
      <c r="S46" s="133"/>
      <c r="T46" s="133"/>
      <c r="U46" s="136"/>
      <c r="V46" s="133"/>
      <c r="W46" s="133"/>
      <c r="X46" s="133"/>
      <c r="Y46" s="133"/>
      <c r="Z46" s="133"/>
      <c r="AA46" s="119"/>
    </row>
    <row r="47" spans="1:27" ht="15.6" x14ac:dyDescent="0.35">
      <c r="A47" s="138"/>
      <c r="B47" s="139"/>
      <c r="C47" s="139"/>
      <c r="D47" s="139"/>
      <c r="E47" s="139"/>
      <c r="F47" s="139"/>
      <c r="G47" s="162" t="s">
        <v>285</v>
      </c>
      <c r="H47" s="201">
        <f>Variable_Management!B149*(10^9)</f>
        <v>7.4999999999999991</v>
      </c>
      <c r="I47" s="141" t="s">
        <v>180</v>
      </c>
      <c r="J47" s="133"/>
      <c r="K47" s="133"/>
      <c r="L47" s="133"/>
      <c r="M47" s="133"/>
      <c r="N47" s="133"/>
      <c r="O47" s="133"/>
      <c r="P47" s="133"/>
      <c r="Q47" s="133"/>
      <c r="R47" s="133"/>
      <c r="S47" s="133"/>
      <c r="T47" s="133"/>
      <c r="U47" s="136"/>
      <c r="V47" s="133"/>
      <c r="W47" s="133"/>
      <c r="X47" s="133"/>
      <c r="Y47" s="133"/>
      <c r="Z47" s="133"/>
      <c r="AA47" s="119"/>
    </row>
    <row r="48" spans="1:27" ht="15.6" x14ac:dyDescent="0.35">
      <c r="A48" s="142"/>
      <c r="B48" s="136"/>
      <c r="C48" s="136"/>
      <c r="D48" s="136"/>
      <c r="E48" s="136"/>
      <c r="F48" s="136"/>
      <c r="G48" s="158" t="s">
        <v>290</v>
      </c>
      <c r="H48" s="192">
        <v>20</v>
      </c>
      <c r="I48" s="144" t="s">
        <v>286</v>
      </c>
      <c r="J48" s="133"/>
      <c r="K48" s="133"/>
      <c r="L48" s="133"/>
      <c r="M48" s="133"/>
      <c r="N48" s="133"/>
      <c r="O48" s="133"/>
      <c r="P48" s="133"/>
      <c r="Q48" s="133"/>
      <c r="R48" s="133"/>
      <c r="S48" s="133"/>
      <c r="T48" s="133"/>
      <c r="U48" s="136"/>
      <c r="V48" s="133"/>
      <c r="W48" s="133"/>
      <c r="X48" s="133"/>
      <c r="Y48" s="133"/>
      <c r="Z48" s="133"/>
      <c r="AA48" s="119"/>
    </row>
    <row r="49" spans="1:27" ht="16.2" thickBot="1" x14ac:dyDescent="0.4">
      <c r="A49" s="156"/>
      <c r="B49" s="150"/>
      <c r="C49" s="150"/>
      <c r="D49" s="150"/>
      <c r="E49" s="150"/>
      <c r="F49" s="150"/>
      <c r="G49" s="160" t="s">
        <v>289</v>
      </c>
      <c r="H49" s="202">
        <f>Variable_Management!B151*(10^9)</f>
        <v>599.99999999999989</v>
      </c>
      <c r="I49" s="152" t="s">
        <v>180</v>
      </c>
      <c r="J49" s="133"/>
      <c r="K49" s="133"/>
      <c r="L49" s="133"/>
      <c r="M49" s="133"/>
      <c r="N49" s="133"/>
      <c r="O49" s="133"/>
      <c r="P49" s="133"/>
      <c r="Q49" s="133"/>
      <c r="R49" s="133"/>
      <c r="S49" s="133"/>
      <c r="T49" s="133"/>
      <c r="U49" s="136"/>
      <c r="V49" s="133"/>
      <c r="W49" s="133"/>
      <c r="X49" s="133"/>
      <c r="Y49" s="133"/>
      <c r="Z49" s="133"/>
      <c r="AA49" s="119"/>
    </row>
    <row r="50" spans="1:27" x14ac:dyDescent="0.3">
      <c r="A50" s="133"/>
      <c r="B50" s="133"/>
      <c r="C50" s="133"/>
      <c r="D50" s="133"/>
      <c r="E50" s="133"/>
      <c r="F50" s="133"/>
      <c r="G50" s="134"/>
      <c r="H50" s="133"/>
      <c r="I50" s="133"/>
      <c r="J50" s="133"/>
      <c r="K50" s="133"/>
      <c r="L50" s="133"/>
      <c r="M50" s="133"/>
      <c r="N50" s="133"/>
      <c r="O50" s="133"/>
      <c r="P50" s="133"/>
      <c r="Q50" s="133"/>
      <c r="R50" s="133"/>
      <c r="S50" s="133"/>
      <c r="T50" s="133"/>
      <c r="U50" s="136"/>
      <c r="V50" s="133"/>
      <c r="W50" s="133"/>
      <c r="X50" s="133"/>
      <c r="Y50" s="133"/>
      <c r="Z50" s="133"/>
      <c r="AA50" s="119"/>
    </row>
    <row r="51" spans="1:27" ht="15" thickBot="1" x14ac:dyDescent="0.35">
      <c r="A51" s="154" t="s">
        <v>560</v>
      </c>
      <c r="B51" s="133"/>
      <c r="C51" s="133"/>
      <c r="D51" s="133"/>
      <c r="E51" s="133"/>
      <c r="F51" s="133"/>
      <c r="G51" s="134"/>
      <c r="H51" s="133"/>
      <c r="I51" s="133"/>
      <c r="J51" s="133"/>
      <c r="K51" s="133"/>
      <c r="L51" s="133"/>
      <c r="M51" s="133"/>
      <c r="N51" s="133"/>
      <c r="O51" s="133"/>
      <c r="P51" s="133"/>
      <c r="Q51" s="133"/>
      <c r="R51" s="133"/>
      <c r="S51" s="133"/>
      <c r="T51" s="133"/>
      <c r="U51" s="136"/>
      <c r="V51" s="133"/>
      <c r="W51" s="133"/>
      <c r="X51" s="133"/>
      <c r="Y51" s="133"/>
      <c r="Z51" s="133"/>
      <c r="AA51" s="119"/>
    </row>
    <row r="52" spans="1:27" ht="15.6" x14ac:dyDescent="0.35">
      <c r="A52" s="138"/>
      <c r="B52" s="139"/>
      <c r="C52" s="139"/>
      <c r="D52" s="139"/>
      <c r="E52" s="139"/>
      <c r="F52" s="139"/>
      <c r="G52" s="162" t="s">
        <v>292</v>
      </c>
      <c r="H52" s="191">
        <v>5.8</v>
      </c>
      <c r="I52" s="141" t="s">
        <v>10</v>
      </c>
      <c r="J52" s="133"/>
      <c r="K52" s="133"/>
      <c r="L52" s="133"/>
      <c r="M52" s="133"/>
      <c r="N52" s="133"/>
      <c r="O52" s="133"/>
      <c r="P52" s="133"/>
      <c r="Q52" s="133"/>
      <c r="R52" s="133"/>
      <c r="S52" s="133"/>
      <c r="T52" s="133"/>
      <c r="U52" s="136"/>
      <c r="V52" s="133"/>
      <c r="W52" s="133"/>
      <c r="X52" s="133"/>
      <c r="Y52" s="133"/>
      <c r="Z52" s="133"/>
      <c r="AA52" s="119"/>
    </row>
    <row r="53" spans="1:27" ht="15.6" x14ac:dyDescent="0.35">
      <c r="A53" s="142"/>
      <c r="B53" s="136"/>
      <c r="C53" s="136"/>
      <c r="D53" s="136"/>
      <c r="E53" s="136"/>
      <c r="F53" s="136"/>
      <c r="G53" s="158" t="s">
        <v>291</v>
      </c>
      <c r="H53" s="192">
        <v>5.4</v>
      </c>
      <c r="I53" s="144" t="s">
        <v>10</v>
      </c>
      <c r="J53" s="133"/>
      <c r="K53" s="133"/>
      <c r="L53" s="133"/>
      <c r="M53" s="133"/>
      <c r="N53" s="133"/>
      <c r="O53" s="133"/>
      <c r="P53" s="133"/>
      <c r="Q53" s="190">
        <f>VIN_min</f>
        <v>8</v>
      </c>
      <c r="R53" s="133"/>
      <c r="S53" s="133"/>
      <c r="T53" s="133"/>
      <c r="U53" s="136"/>
      <c r="V53" s="133"/>
      <c r="W53" s="133"/>
      <c r="X53" s="133"/>
      <c r="Y53" s="133"/>
      <c r="Z53" s="133"/>
      <c r="AA53" s="119"/>
    </row>
    <row r="54" spans="1:27" ht="15.6" x14ac:dyDescent="0.35">
      <c r="A54" s="142"/>
      <c r="B54" s="136"/>
      <c r="C54" s="136"/>
      <c r="D54" s="136"/>
      <c r="E54" s="136"/>
      <c r="F54" s="136"/>
      <c r="G54" s="158" t="s">
        <v>402</v>
      </c>
      <c r="H54" s="199">
        <f>Ruvlo_top_calc/1000</f>
        <v>41.719999999999942</v>
      </c>
      <c r="I54" s="159" t="s">
        <v>177</v>
      </c>
      <c r="J54" s="133"/>
      <c r="K54" s="133"/>
      <c r="L54" s="133"/>
      <c r="M54" s="133"/>
      <c r="N54" s="133"/>
      <c r="O54" s="133"/>
      <c r="P54" s="133"/>
      <c r="Q54" s="133"/>
      <c r="R54" s="133"/>
      <c r="S54" s="133"/>
      <c r="T54" s="133"/>
      <c r="U54" s="136"/>
      <c r="V54" s="133"/>
      <c r="W54" s="133"/>
      <c r="X54" s="133"/>
      <c r="Y54" s="133"/>
      <c r="Z54" s="133"/>
      <c r="AA54" s="119"/>
    </row>
    <row r="55" spans="1:27" ht="15.6" x14ac:dyDescent="0.35">
      <c r="A55" s="142"/>
      <c r="B55" s="136"/>
      <c r="C55" s="136"/>
      <c r="D55" s="136"/>
      <c r="E55" s="136"/>
      <c r="F55" s="136"/>
      <c r="G55" s="158" t="s">
        <v>403</v>
      </c>
      <c r="H55" s="192">
        <v>42</v>
      </c>
      <c r="I55" s="159" t="s">
        <v>177</v>
      </c>
      <c r="J55" s="133"/>
      <c r="K55" s="133"/>
      <c r="L55" s="133"/>
      <c r="M55" s="133"/>
      <c r="N55" s="133"/>
      <c r="O55" s="133"/>
      <c r="P55" s="133"/>
      <c r="Q55" s="133"/>
      <c r="R55" s="133"/>
      <c r="S55" s="133"/>
      <c r="T55" s="133"/>
      <c r="U55" s="136"/>
      <c r="V55" s="133"/>
      <c r="W55" s="133"/>
      <c r="X55" s="133"/>
      <c r="Y55" s="133"/>
      <c r="Z55" s="133"/>
      <c r="AA55" s="119"/>
    </row>
    <row r="56" spans="1:27" ht="16.2" thickBot="1" x14ac:dyDescent="0.4">
      <c r="A56" s="156"/>
      <c r="B56" s="150"/>
      <c r="C56" s="150"/>
      <c r="D56" s="150"/>
      <c r="E56" s="150"/>
      <c r="F56" s="150"/>
      <c r="G56" s="160" t="s">
        <v>404</v>
      </c>
      <c r="H56" s="200">
        <f>Ruvlo_bottom_calc/1000</f>
        <v>14.651162790697676</v>
      </c>
      <c r="I56" s="161" t="s">
        <v>177</v>
      </c>
      <c r="J56" s="133"/>
      <c r="K56" s="133"/>
      <c r="L56" s="133"/>
      <c r="M56" s="133"/>
      <c r="N56" s="133"/>
      <c r="O56" s="133"/>
      <c r="P56" s="133"/>
      <c r="Q56" s="133"/>
      <c r="R56" s="133"/>
      <c r="S56" s="133"/>
      <c r="T56" s="133"/>
      <c r="U56" s="136"/>
      <c r="V56" s="133"/>
      <c r="W56" s="133"/>
      <c r="X56" s="133"/>
      <c r="Y56" s="133"/>
      <c r="Z56" s="133"/>
      <c r="AA56" s="119"/>
    </row>
    <row r="57" spans="1:27" x14ac:dyDescent="0.3">
      <c r="A57" s="133"/>
      <c r="B57" s="133"/>
      <c r="C57" s="133"/>
      <c r="D57" s="133"/>
      <c r="E57" s="133"/>
      <c r="F57" s="133"/>
      <c r="G57" s="134"/>
      <c r="H57" s="133"/>
      <c r="I57" s="133"/>
      <c r="J57" s="133"/>
      <c r="K57" s="133"/>
      <c r="L57" s="133"/>
      <c r="M57" s="133"/>
      <c r="N57" s="133"/>
      <c r="O57" s="133"/>
      <c r="P57" s="133"/>
      <c r="Q57" s="133"/>
      <c r="R57" s="133"/>
      <c r="S57" s="133"/>
      <c r="T57" s="133"/>
      <c r="U57" s="136"/>
      <c r="V57" s="133"/>
      <c r="W57" s="133"/>
      <c r="X57" s="133"/>
      <c r="Y57" s="133"/>
      <c r="Z57" s="133"/>
      <c r="AA57" s="119"/>
    </row>
    <row r="58" spans="1:27" ht="15" thickBot="1" x14ac:dyDescent="0.35">
      <c r="A58" s="154" t="s">
        <v>561</v>
      </c>
      <c r="B58" s="133"/>
      <c r="C58" s="133"/>
      <c r="D58" s="133"/>
      <c r="E58" s="133"/>
      <c r="F58" s="133"/>
      <c r="G58" s="133"/>
      <c r="H58" s="133"/>
      <c r="I58" s="133"/>
      <c r="J58" s="133"/>
      <c r="K58" s="133"/>
      <c r="L58" s="133"/>
      <c r="M58" s="133"/>
      <c r="N58" s="133"/>
      <c r="O58" s="133"/>
      <c r="P58" s="133"/>
      <c r="Q58" s="133"/>
      <c r="R58" s="133"/>
      <c r="S58" s="133"/>
      <c r="T58" s="133"/>
      <c r="U58" s="136"/>
      <c r="V58" s="133"/>
      <c r="W58" s="133"/>
      <c r="X58" s="133"/>
      <c r="Y58" s="133"/>
      <c r="Z58" s="133"/>
      <c r="AA58" s="119"/>
    </row>
    <row r="59" spans="1:27" ht="15.6" x14ac:dyDescent="0.35">
      <c r="A59" s="163"/>
      <c r="B59" s="139"/>
      <c r="C59" s="139"/>
      <c r="D59" s="139"/>
      <c r="E59" s="139"/>
      <c r="F59" s="139"/>
      <c r="G59" s="164" t="s">
        <v>428</v>
      </c>
      <c r="H59" s="203" t="str">
        <f>VIN_var&amp;"V"</f>
        <v>18V</v>
      </c>
      <c r="I59" s="141"/>
      <c r="J59" s="133"/>
      <c r="K59" s="133"/>
      <c r="L59" s="133"/>
      <c r="M59" s="133"/>
      <c r="N59" s="133"/>
      <c r="O59" s="133"/>
      <c r="P59" s="133"/>
      <c r="Q59" s="133"/>
      <c r="R59" s="133"/>
      <c r="S59" s="133"/>
      <c r="T59" s="133"/>
      <c r="U59" s="136"/>
      <c r="V59" s="133"/>
      <c r="W59" s="133"/>
      <c r="X59" s="133"/>
      <c r="Y59" s="133"/>
      <c r="Z59" s="133"/>
      <c r="AA59" s="119"/>
    </row>
    <row r="60" spans="1:27" x14ac:dyDescent="0.3">
      <c r="A60" s="142"/>
      <c r="B60" s="136"/>
      <c r="C60" s="136"/>
      <c r="D60" s="136"/>
      <c r="E60" s="136"/>
      <c r="F60" s="136"/>
      <c r="G60" s="136"/>
      <c r="H60" s="204"/>
      <c r="I60" s="144"/>
      <c r="J60" s="133"/>
      <c r="K60" s="133"/>
      <c r="L60" s="133"/>
      <c r="M60" s="133"/>
      <c r="N60" s="133"/>
      <c r="O60" s="133"/>
      <c r="P60" s="133"/>
      <c r="Q60" s="133"/>
      <c r="R60" s="133"/>
      <c r="S60" s="133"/>
      <c r="T60" s="133"/>
      <c r="U60" s="136"/>
      <c r="V60" s="133"/>
      <c r="W60" s="133"/>
      <c r="X60" s="133"/>
      <c r="Y60" s="133"/>
      <c r="Z60" s="133"/>
      <c r="AA60" s="119"/>
    </row>
    <row r="61" spans="1:27" x14ac:dyDescent="0.3">
      <c r="A61" s="165"/>
      <c r="B61" s="136"/>
      <c r="C61" s="136"/>
      <c r="D61" s="136"/>
      <c r="E61" s="136"/>
      <c r="F61" s="136"/>
      <c r="G61" s="166" t="s">
        <v>178</v>
      </c>
      <c r="H61" s="194"/>
      <c r="I61" s="144"/>
      <c r="J61" s="133"/>
      <c r="K61" s="133"/>
      <c r="L61" s="133"/>
      <c r="M61" s="133"/>
      <c r="N61" s="133"/>
      <c r="O61" s="133"/>
      <c r="P61" s="133"/>
      <c r="Q61" s="133"/>
      <c r="R61" s="133"/>
      <c r="S61" s="133"/>
      <c r="T61" s="133"/>
      <c r="U61" s="136"/>
      <c r="V61" s="133"/>
      <c r="W61" s="133"/>
      <c r="X61" s="133"/>
      <c r="Y61" s="133"/>
      <c r="Z61" s="133"/>
      <c r="AA61" s="119"/>
    </row>
    <row r="62" spans="1:27" ht="15.6" x14ac:dyDescent="0.35">
      <c r="A62" s="165"/>
      <c r="B62" s="136"/>
      <c r="C62" s="136"/>
      <c r="D62" s="136"/>
      <c r="E62" s="136"/>
      <c r="F62" s="136"/>
      <c r="G62" s="158" t="s">
        <v>264</v>
      </c>
      <c r="H62" s="192">
        <v>150</v>
      </c>
      <c r="I62" s="159" t="s">
        <v>177</v>
      </c>
      <c r="J62" s="133"/>
      <c r="K62" s="133"/>
      <c r="L62" s="133"/>
      <c r="M62" s="133"/>
      <c r="N62" s="133"/>
      <c r="O62" s="133"/>
      <c r="P62" s="133"/>
      <c r="Q62" s="133"/>
      <c r="R62" s="133"/>
      <c r="S62" s="133"/>
      <c r="T62" s="133"/>
      <c r="U62" s="136"/>
      <c r="V62" s="133"/>
      <c r="W62" s="133"/>
      <c r="X62" s="133"/>
      <c r="Y62" s="133"/>
      <c r="Z62" s="133"/>
      <c r="AA62" s="119"/>
    </row>
    <row r="63" spans="1:27" ht="15.6" x14ac:dyDescent="0.35">
      <c r="A63" s="165"/>
      <c r="B63" s="136"/>
      <c r="C63" s="136"/>
      <c r="D63" s="136"/>
      <c r="E63" s="136"/>
      <c r="F63" s="136"/>
      <c r="G63" s="158" t="s">
        <v>253</v>
      </c>
      <c r="H63" s="199">
        <f>RFBB_calc/1000</f>
        <v>13.636363636363637</v>
      </c>
      <c r="I63" s="159" t="s">
        <v>177</v>
      </c>
      <c r="J63" s="133"/>
      <c r="K63" s="133"/>
      <c r="L63" s="133"/>
      <c r="M63" s="133"/>
      <c r="N63" s="133"/>
      <c r="O63" s="133"/>
      <c r="P63" s="133"/>
      <c r="Q63" s="133"/>
      <c r="R63" s="133"/>
      <c r="S63" s="133"/>
      <c r="T63" s="133"/>
      <c r="U63" s="136"/>
      <c r="V63" s="133"/>
      <c r="W63" s="133"/>
      <c r="X63" s="133"/>
      <c r="Y63" s="133"/>
      <c r="Z63" s="133"/>
      <c r="AA63" s="119"/>
    </row>
    <row r="64" spans="1:27" ht="15.6" x14ac:dyDescent="0.35">
      <c r="A64" s="165"/>
      <c r="B64" s="136"/>
      <c r="C64" s="136"/>
      <c r="D64" s="136"/>
      <c r="E64" s="136"/>
      <c r="F64" s="136"/>
      <c r="G64" s="158" t="s">
        <v>265</v>
      </c>
      <c r="H64" s="192">
        <v>14</v>
      </c>
      <c r="I64" s="159" t="s">
        <v>177</v>
      </c>
      <c r="J64" s="133"/>
      <c r="K64" s="133"/>
      <c r="L64" s="133"/>
      <c r="M64" s="133"/>
      <c r="N64" s="133"/>
      <c r="O64" s="133"/>
      <c r="P64" s="133"/>
      <c r="Q64" s="133"/>
      <c r="R64" s="133"/>
      <c r="S64" s="133"/>
      <c r="T64" s="133"/>
      <c r="U64" s="136"/>
      <c r="V64" s="133"/>
      <c r="W64" s="133"/>
      <c r="X64" s="133"/>
      <c r="Y64" s="133"/>
      <c r="Z64" s="133"/>
      <c r="AA64" s="119"/>
    </row>
    <row r="65" spans="1:27" x14ac:dyDescent="0.3">
      <c r="A65" s="142"/>
      <c r="B65" s="136"/>
      <c r="C65" s="136"/>
      <c r="D65" s="136"/>
      <c r="E65" s="136"/>
      <c r="F65" s="136"/>
      <c r="G65" s="158"/>
      <c r="H65" s="194"/>
      <c r="I65" s="144"/>
      <c r="J65" s="133"/>
      <c r="K65" s="133"/>
      <c r="L65" s="133"/>
      <c r="M65" s="133"/>
      <c r="N65" s="133"/>
      <c r="O65" s="133"/>
      <c r="P65" s="133"/>
      <c r="Q65" s="133"/>
      <c r="R65" s="133"/>
      <c r="S65" s="133"/>
      <c r="T65" s="133"/>
      <c r="U65" s="136"/>
      <c r="V65" s="133"/>
      <c r="W65" s="133"/>
      <c r="X65" s="133"/>
      <c r="Y65" s="133"/>
      <c r="Z65" s="133"/>
      <c r="AA65" s="119"/>
    </row>
    <row r="66" spans="1:27" x14ac:dyDescent="0.3">
      <c r="A66" s="142"/>
      <c r="B66" s="136"/>
      <c r="C66" s="136"/>
      <c r="D66" s="136"/>
      <c r="E66" s="136"/>
      <c r="F66" s="136"/>
      <c r="G66" s="158"/>
      <c r="H66" s="194"/>
      <c r="I66" s="144"/>
      <c r="J66" s="133"/>
      <c r="K66" s="133"/>
      <c r="L66" s="133"/>
      <c r="M66" s="133"/>
      <c r="N66" s="133"/>
      <c r="O66" s="133"/>
      <c r="P66" s="133"/>
      <c r="Q66" s="133"/>
      <c r="R66" s="133"/>
      <c r="S66" s="133"/>
      <c r="T66" s="133"/>
      <c r="U66" s="136"/>
      <c r="V66" s="133"/>
      <c r="W66" s="133"/>
      <c r="X66" s="133"/>
      <c r="Y66" s="133"/>
      <c r="Z66" s="133"/>
      <c r="AA66" s="119"/>
    </row>
    <row r="67" spans="1:27" x14ac:dyDescent="0.3">
      <c r="A67" s="142"/>
      <c r="B67" s="136"/>
      <c r="C67" s="136"/>
      <c r="D67" s="136"/>
      <c r="E67" s="136"/>
      <c r="F67" s="136"/>
      <c r="G67" s="158" t="s">
        <v>175</v>
      </c>
      <c r="H67" s="205">
        <f>fcross_est/1000</f>
        <v>3.2152513755938466</v>
      </c>
      <c r="I67" s="144" t="s">
        <v>12</v>
      </c>
      <c r="J67" s="133"/>
      <c r="K67" s="133"/>
      <c r="L67" s="133"/>
      <c r="M67" s="133"/>
      <c r="N67" s="133"/>
      <c r="O67" s="133"/>
      <c r="P67" s="133"/>
      <c r="Q67" s="133"/>
      <c r="R67" s="133"/>
      <c r="S67" s="133"/>
      <c r="T67" s="133"/>
      <c r="U67" s="136"/>
      <c r="V67" s="133"/>
      <c r="W67" s="133"/>
      <c r="X67" s="133"/>
      <c r="Y67" s="133"/>
      <c r="Z67" s="133"/>
      <c r="AA67" s="119"/>
    </row>
    <row r="68" spans="1:27" ht="15.6" x14ac:dyDescent="0.35">
      <c r="A68" s="142"/>
      <c r="B68" s="136"/>
      <c r="C68" s="136"/>
      <c r="D68" s="136"/>
      <c r="E68" s="136"/>
      <c r="F68" s="136"/>
      <c r="G68" s="158" t="s">
        <v>401</v>
      </c>
      <c r="H68" s="192">
        <v>3.5</v>
      </c>
      <c r="I68" s="144" t="s">
        <v>12</v>
      </c>
      <c r="J68" s="133"/>
      <c r="K68" s="133"/>
      <c r="L68" s="133"/>
      <c r="M68" s="133"/>
      <c r="N68" s="133"/>
      <c r="O68" s="133"/>
      <c r="P68" s="133"/>
      <c r="Q68" s="133"/>
      <c r="R68" s="133"/>
      <c r="S68" s="133"/>
      <c r="T68" s="133"/>
      <c r="U68" s="136"/>
      <c r="V68" s="133"/>
      <c r="W68" s="133"/>
      <c r="X68" s="133"/>
      <c r="Y68" s="133"/>
      <c r="Z68" s="133"/>
      <c r="AA68" s="119"/>
    </row>
    <row r="69" spans="1:27" x14ac:dyDescent="0.3">
      <c r="A69" s="142"/>
      <c r="B69" s="136"/>
      <c r="C69" s="136"/>
      <c r="D69" s="136"/>
      <c r="E69" s="136"/>
      <c r="F69" s="136"/>
      <c r="G69" s="158"/>
      <c r="H69" s="194"/>
      <c r="I69" s="144"/>
      <c r="J69" s="133"/>
      <c r="K69" s="133"/>
      <c r="L69" s="133"/>
      <c r="M69" s="133"/>
      <c r="N69" s="133"/>
      <c r="O69" s="133"/>
      <c r="P69" s="133"/>
      <c r="Q69" s="133"/>
      <c r="R69" s="133"/>
      <c r="S69" s="133"/>
      <c r="T69" s="133"/>
      <c r="U69" s="136"/>
      <c r="V69" s="133"/>
      <c r="W69" s="133"/>
      <c r="X69" s="133"/>
      <c r="Y69" s="133"/>
      <c r="Z69" s="133"/>
      <c r="AA69" s="119"/>
    </row>
    <row r="70" spans="1:27" ht="15" thickBot="1" x14ac:dyDescent="0.35">
      <c r="A70" s="142"/>
      <c r="B70" s="136"/>
      <c r="C70" s="136"/>
      <c r="D70" s="136"/>
      <c r="E70" s="136"/>
      <c r="F70" s="168" t="s">
        <v>268</v>
      </c>
      <c r="G70" s="168"/>
      <c r="H70" s="206" t="s">
        <v>269</v>
      </c>
      <c r="I70" s="169"/>
      <c r="J70" s="133"/>
      <c r="K70" s="133"/>
      <c r="L70" s="133"/>
      <c r="M70" s="133"/>
      <c r="N70" s="133"/>
      <c r="O70" s="133"/>
      <c r="P70" s="133"/>
      <c r="Q70" s="133"/>
      <c r="R70" s="133"/>
      <c r="S70" s="133"/>
      <c r="T70" s="133"/>
      <c r="U70" s="136"/>
      <c r="V70" s="133"/>
      <c r="W70" s="133"/>
      <c r="X70" s="133"/>
      <c r="Y70" s="133"/>
      <c r="Z70" s="133"/>
      <c r="AA70" s="119"/>
    </row>
    <row r="71" spans="1:27" ht="16.2" thickBot="1" x14ac:dyDescent="0.4">
      <c r="A71" s="142"/>
      <c r="B71" s="136"/>
      <c r="C71" s="136"/>
      <c r="D71" s="136"/>
      <c r="E71" s="158" t="s">
        <v>267</v>
      </c>
      <c r="F71" s="208">
        <f>RCOMP_Calc/1000</f>
        <v>4.5498928086472867</v>
      </c>
      <c r="G71" s="212" t="s">
        <v>177</v>
      </c>
      <c r="H71" s="209">
        <v>4.2699999999999996</v>
      </c>
      <c r="I71" s="159" t="s">
        <v>177</v>
      </c>
      <c r="J71" s="133"/>
      <c r="K71" s="133"/>
      <c r="L71" s="133"/>
      <c r="M71" s="133"/>
      <c r="N71" s="133"/>
      <c r="O71" s="133"/>
      <c r="P71" s="133"/>
      <c r="Q71" s="133"/>
      <c r="R71" s="133"/>
      <c r="S71" s="133"/>
      <c r="T71" s="133"/>
      <c r="U71" s="136"/>
      <c r="V71" s="133"/>
      <c r="W71" s="133"/>
      <c r="X71" s="133"/>
      <c r="Y71" s="133"/>
      <c r="Z71" s="133"/>
      <c r="AA71" s="119"/>
    </row>
    <row r="72" spans="1:27" ht="16.2" thickBot="1" x14ac:dyDescent="0.4">
      <c r="A72" s="142"/>
      <c r="B72" s="136"/>
      <c r="C72" s="136"/>
      <c r="D72" s="136"/>
      <c r="E72" s="158" t="s">
        <v>387</v>
      </c>
      <c r="F72" s="210">
        <f>CCOMP_Calc*(10^9)</f>
        <v>32.08821204035371</v>
      </c>
      <c r="G72" s="212" t="s">
        <v>180</v>
      </c>
      <c r="H72" s="209">
        <v>36</v>
      </c>
      <c r="I72" s="144" t="s">
        <v>180</v>
      </c>
      <c r="J72" s="133"/>
      <c r="K72" s="133"/>
      <c r="L72" s="133"/>
      <c r="M72" s="133"/>
      <c r="N72" s="133"/>
      <c r="O72" s="133"/>
      <c r="P72" s="133"/>
      <c r="Q72" s="133"/>
      <c r="R72" s="133"/>
      <c r="S72" s="133"/>
      <c r="T72" s="133"/>
      <c r="U72" s="136"/>
      <c r="V72" s="133"/>
      <c r="W72" s="133"/>
      <c r="X72" s="133"/>
      <c r="Y72" s="133"/>
      <c r="Z72" s="133"/>
      <c r="AA72" s="119"/>
    </row>
    <row r="73" spans="1:27" ht="16.2" thickBot="1" x14ac:dyDescent="0.4">
      <c r="A73" s="156"/>
      <c r="B73" s="150"/>
      <c r="C73" s="150"/>
      <c r="D73" s="150"/>
      <c r="E73" s="160" t="s">
        <v>388</v>
      </c>
      <c r="F73" s="207">
        <f>CHF_calc*(10^12)</f>
        <v>1813.2295302255211</v>
      </c>
      <c r="G73" s="213" t="s">
        <v>179</v>
      </c>
      <c r="H73" s="198">
        <v>2000</v>
      </c>
      <c r="I73" s="152" t="s">
        <v>179</v>
      </c>
      <c r="J73" s="133"/>
      <c r="K73" s="133"/>
      <c r="L73" s="133"/>
      <c r="M73" s="133"/>
      <c r="N73" s="133"/>
      <c r="O73" s="133"/>
      <c r="P73" s="133"/>
      <c r="Q73" s="133"/>
      <c r="R73" s="133"/>
      <c r="S73" s="133"/>
      <c r="T73" s="133"/>
      <c r="U73" s="136"/>
      <c r="V73" s="133"/>
      <c r="W73" s="133"/>
      <c r="X73" s="133"/>
      <c r="Y73" s="133"/>
      <c r="Z73" s="133"/>
      <c r="AA73" s="119"/>
    </row>
    <row r="74" spans="1:27" x14ac:dyDescent="0.3">
      <c r="A74" s="133"/>
      <c r="B74" s="133"/>
      <c r="C74" s="133"/>
      <c r="D74" s="133"/>
      <c r="E74" s="134"/>
      <c r="F74" s="170"/>
      <c r="G74" s="134"/>
      <c r="H74" s="171"/>
      <c r="I74" s="133"/>
      <c r="J74" s="133"/>
      <c r="K74" s="133"/>
      <c r="L74" s="133"/>
      <c r="M74" s="133"/>
      <c r="N74" s="133"/>
      <c r="O74" s="133"/>
      <c r="P74" s="133"/>
      <c r="Q74" s="133"/>
      <c r="R74" s="133"/>
      <c r="S74" s="133"/>
      <c r="T74" s="133"/>
      <c r="U74" s="136"/>
      <c r="V74" s="133"/>
      <c r="W74" s="133"/>
      <c r="X74" s="133"/>
      <c r="Y74" s="133"/>
      <c r="Z74" s="133"/>
      <c r="AA74" s="119"/>
    </row>
    <row r="75" spans="1:27" ht="23.4" x14ac:dyDescent="0.45">
      <c r="A75" s="172" t="s">
        <v>266</v>
      </c>
      <c r="B75" s="173"/>
      <c r="C75" s="173"/>
      <c r="D75" s="173"/>
      <c r="E75" s="173"/>
      <c r="F75" s="173"/>
      <c r="G75" s="174"/>
      <c r="H75" s="173"/>
      <c r="I75" s="173"/>
      <c r="J75" s="173"/>
      <c r="K75" s="173"/>
      <c r="L75" s="173"/>
      <c r="M75" s="173"/>
      <c r="N75" s="173"/>
      <c r="O75" s="173"/>
      <c r="P75" s="173"/>
      <c r="Q75" s="173"/>
      <c r="R75" s="173"/>
      <c r="S75" s="173"/>
      <c r="T75" s="175"/>
      <c r="U75" s="176"/>
      <c r="V75" s="175"/>
      <c r="W75" s="175"/>
      <c r="X75" s="175"/>
      <c r="Y75" s="175"/>
      <c r="Z75" s="175"/>
    </row>
    <row r="76" spans="1:27" x14ac:dyDescent="0.3">
      <c r="A76" s="133"/>
      <c r="B76" s="133"/>
      <c r="C76" s="133"/>
      <c r="D76" s="133"/>
      <c r="E76" s="133"/>
      <c r="F76" s="133"/>
      <c r="G76" s="133"/>
      <c r="H76" s="133"/>
      <c r="I76" s="133"/>
      <c r="J76" s="133"/>
      <c r="K76" s="133"/>
      <c r="L76" s="133"/>
      <c r="M76" s="133"/>
      <c r="N76" s="133"/>
      <c r="O76" s="133"/>
      <c r="P76" s="133"/>
      <c r="Q76" s="133"/>
      <c r="R76" s="133"/>
      <c r="S76" s="133"/>
      <c r="T76" s="133"/>
      <c r="U76" s="136"/>
      <c r="V76" s="133"/>
      <c r="W76" s="133"/>
      <c r="X76" s="133"/>
      <c r="Y76" s="133"/>
      <c r="Z76" s="133"/>
      <c r="AA76" s="119"/>
    </row>
    <row r="77" spans="1:27" ht="15" thickBot="1" x14ac:dyDescent="0.35">
      <c r="A77" s="177" t="s">
        <v>340</v>
      </c>
      <c r="B77" s="136"/>
      <c r="C77" s="136"/>
      <c r="D77" s="136"/>
      <c r="E77" s="136"/>
      <c r="F77" s="133"/>
      <c r="G77" s="133"/>
      <c r="H77" s="136"/>
      <c r="I77" s="136"/>
      <c r="J77" s="133"/>
      <c r="K77" s="133"/>
      <c r="L77" s="133"/>
      <c r="M77" s="133"/>
      <c r="N77" s="133"/>
      <c r="O77" s="133"/>
      <c r="P77" s="133"/>
      <c r="Q77" s="133"/>
      <c r="R77" s="133"/>
      <c r="S77" s="133"/>
      <c r="T77" s="133"/>
      <c r="U77" s="136"/>
      <c r="V77" s="133"/>
      <c r="W77" s="133"/>
      <c r="X77" s="133"/>
      <c r="Y77" s="133"/>
      <c r="Z77" s="133"/>
      <c r="AA77" s="119"/>
    </row>
    <row r="78" spans="1:27" ht="15.6" x14ac:dyDescent="0.35">
      <c r="A78" s="138"/>
      <c r="B78" s="139"/>
      <c r="C78" s="139"/>
      <c r="D78" s="139"/>
      <c r="E78" s="139"/>
      <c r="F78" s="139"/>
      <c r="G78" s="178" t="s">
        <v>328</v>
      </c>
      <c r="H78" s="191">
        <v>4.4000000000000004</v>
      </c>
      <c r="I78" s="179" t="s">
        <v>335</v>
      </c>
      <c r="J78" s="180"/>
      <c r="K78" s="180"/>
      <c r="L78" s="180"/>
      <c r="M78" s="180"/>
      <c r="N78" s="180"/>
      <c r="O78" s="180"/>
      <c r="P78" s="180"/>
      <c r="Q78" s="180"/>
      <c r="R78" s="180"/>
      <c r="S78" s="180"/>
      <c r="T78" s="180"/>
      <c r="U78" s="167"/>
      <c r="V78" s="171"/>
      <c r="W78" s="180"/>
      <c r="X78" s="180"/>
      <c r="Y78" s="180"/>
      <c r="Z78" s="180"/>
      <c r="AA78" s="119"/>
    </row>
    <row r="79" spans="1:27" ht="15.6" x14ac:dyDescent="0.35">
      <c r="A79" s="165"/>
      <c r="B79" s="136"/>
      <c r="C79" s="136"/>
      <c r="D79" s="136"/>
      <c r="E79" s="136"/>
      <c r="F79" s="136"/>
      <c r="G79" s="181" t="s">
        <v>329</v>
      </c>
      <c r="H79" s="192">
        <v>43</v>
      </c>
      <c r="I79" s="182" t="s">
        <v>336</v>
      </c>
      <c r="J79" s="180"/>
      <c r="K79" s="180"/>
      <c r="L79" s="180"/>
      <c r="M79" s="180"/>
      <c r="N79" s="180"/>
      <c r="O79" s="180"/>
      <c r="P79" s="180"/>
      <c r="Q79" s="180"/>
      <c r="R79" s="180"/>
      <c r="S79" s="180"/>
      <c r="T79" s="180"/>
      <c r="U79" s="167"/>
      <c r="V79" s="171"/>
      <c r="W79" s="180"/>
      <c r="X79" s="180"/>
      <c r="Y79" s="180"/>
      <c r="Z79" s="180"/>
      <c r="AA79" s="119"/>
    </row>
    <row r="80" spans="1:27" ht="15.6" x14ac:dyDescent="0.35">
      <c r="A80" s="165"/>
      <c r="B80" s="136"/>
      <c r="C80" s="136"/>
      <c r="D80" s="136"/>
      <c r="E80" s="136"/>
      <c r="F80" s="136"/>
      <c r="G80" s="181" t="s">
        <v>330</v>
      </c>
      <c r="H80" s="192">
        <v>18.2</v>
      </c>
      <c r="I80" s="182" t="s">
        <v>336</v>
      </c>
      <c r="J80" s="180"/>
      <c r="K80" s="180"/>
      <c r="L80" s="180"/>
      <c r="M80" s="180"/>
      <c r="N80" s="180"/>
      <c r="O80" s="180"/>
      <c r="P80" s="180"/>
      <c r="Q80" s="180"/>
      <c r="R80" s="180"/>
      <c r="S80" s="180"/>
      <c r="T80" s="180"/>
      <c r="U80" s="167"/>
      <c r="V80" s="171"/>
      <c r="W80" s="180"/>
      <c r="X80" s="180"/>
      <c r="Y80" s="180"/>
      <c r="Z80" s="180"/>
      <c r="AA80" s="119"/>
    </row>
    <row r="81" spans="1:27" ht="15.6" x14ac:dyDescent="0.35">
      <c r="A81" s="142"/>
      <c r="B81" s="136"/>
      <c r="C81" s="136"/>
      <c r="D81" s="136"/>
      <c r="E81" s="136"/>
      <c r="F81" s="136"/>
      <c r="G81" s="181" t="s">
        <v>331</v>
      </c>
      <c r="H81" s="192">
        <v>12</v>
      </c>
      <c r="I81" s="182" t="s">
        <v>336</v>
      </c>
      <c r="J81" s="180"/>
      <c r="K81" s="180"/>
      <c r="L81" s="180"/>
      <c r="M81" s="180"/>
      <c r="N81" s="180"/>
      <c r="O81" s="180"/>
      <c r="P81" s="180"/>
      <c r="Q81" s="180"/>
      <c r="R81" s="180"/>
      <c r="S81" s="180"/>
      <c r="T81" s="180"/>
      <c r="U81" s="167"/>
      <c r="V81" s="171"/>
      <c r="W81" s="180"/>
      <c r="X81" s="180"/>
      <c r="Y81" s="180"/>
      <c r="Z81" s="180"/>
      <c r="AA81" s="119"/>
    </row>
    <row r="82" spans="1:27" ht="15.6" x14ac:dyDescent="0.35">
      <c r="A82" s="142"/>
      <c r="B82" s="136"/>
      <c r="C82" s="136"/>
      <c r="D82" s="136"/>
      <c r="E82" s="136"/>
      <c r="F82" s="136"/>
      <c r="G82" s="181" t="s">
        <v>332</v>
      </c>
      <c r="H82" s="192">
        <v>2.2400000000000002</v>
      </c>
      <c r="I82" s="182" t="s">
        <v>337</v>
      </c>
      <c r="J82" s="180"/>
      <c r="K82" s="180"/>
      <c r="L82" s="180"/>
      <c r="M82" s="180"/>
      <c r="N82" s="180"/>
      <c r="O82" s="180"/>
      <c r="P82" s="180"/>
      <c r="Q82" s="180"/>
      <c r="R82" s="180"/>
      <c r="S82" s="180"/>
      <c r="T82" s="180"/>
      <c r="U82" s="167"/>
      <c r="V82" s="171"/>
      <c r="W82" s="180"/>
      <c r="X82" s="180"/>
      <c r="Y82" s="180"/>
      <c r="Z82" s="180"/>
      <c r="AA82" s="119"/>
    </row>
    <row r="83" spans="1:27" ht="15.6" x14ac:dyDescent="0.35">
      <c r="A83" s="142"/>
      <c r="B83" s="136"/>
      <c r="C83" s="136"/>
      <c r="D83" s="136"/>
      <c r="E83" s="136"/>
      <c r="F83" s="136"/>
      <c r="G83" s="181" t="s">
        <v>333</v>
      </c>
      <c r="H83" s="192">
        <v>50</v>
      </c>
      <c r="I83" s="182" t="s">
        <v>338</v>
      </c>
      <c r="J83" s="180"/>
      <c r="K83" s="180"/>
      <c r="L83" s="180"/>
      <c r="M83" s="180"/>
      <c r="N83" s="180"/>
      <c r="O83" s="180"/>
      <c r="P83" s="180"/>
      <c r="Q83" s="180"/>
      <c r="R83" s="180"/>
      <c r="S83" s="180"/>
      <c r="T83" s="180"/>
      <c r="U83" s="167"/>
      <c r="V83" s="171"/>
      <c r="W83" s="180"/>
      <c r="X83" s="180"/>
      <c r="Y83" s="180"/>
      <c r="Z83" s="180"/>
      <c r="AA83" s="119"/>
    </row>
    <row r="84" spans="1:27" ht="16.2" thickBot="1" x14ac:dyDescent="0.4">
      <c r="A84" s="156"/>
      <c r="B84" s="150"/>
      <c r="C84" s="150"/>
      <c r="D84" s="150"/>
      <c r="E84" s="150"/>
      <c r="F84" s="150"/>
      <c r="G84" s="183" t="s">
        <v>334</v>
      </c>
      <c r="H84" s="198">
        <v>1.8</v>
      </c>
      <c r="I84" s="184" t="s">
        <v>10</v>
      </c>
      <c r="J84" s="180"/>
      <c r="K84" s="180"/>
      <c r="L84" s="180"/>
      <c r="M84" s="180"/>
      <c r="N84" s="180"/>
      <c r="O84" s="180"/>
      <c r="P84" s="180"/>
      <c r="Q84" s="180"/>
      <c r="R84" s="180"/>
      <c r="S84" s="180"/>
      <c r="T84" s="180"/>
      <c r="U84" s="167"/>
      <c r="V84" s="171"/>
      <c r="W84" s="180"/>
      <c r="X84" s="180"/>
      <c r="Y84" s="180"/>
      <c r="Z84" s="180"/>
      <c r="AA84" s="119"/>
    </row>
    <row r="85" spans="1:27" x14ac:dyDescent="0.3">
      <c r="A85" s="133"/>
      <c r="B85" s="133"/>
      <c r="C85" s="133"/>
      <c r="D85" s="133"/>
      <c r="E85" s="133"/>
      <c r="F85" s="133"/>
      <c r="G85" s="134"/>
      <c r="H85" s="133"/>
      <c r="I85" s="136"/>
      <c r="J85" s="133"/>
      <c r="K85" s="133"/>
      <c r="L85" s="133"/>
      <c r="M85" s="133"/>
      <c r="N85" s="133"/>
      <c r="O85" s="133"/>
      <c r="P85" s="133"/>
      <c r="Q85" s="133"/>
      <c r="R85" s="133"/>
      <c r="S85" s="133"/>
      <c r="T85" s="133"/>
      <c r="U85" s="136"/>
      <c r="V85" s="133"/>
      <c r="W85" s="133"/>
      <c r="X85" s="133"/>
      <c r="Y85" s="133"/>
      <c r="Z85" s="133"/>
      <c r="AA85" s="119"/>
    </row>
    <row r="86" spans="1:27" ht="15" thickBot="1" x14ac:dyDescent="0.35">
      <c r="A86" s="185" t="s">
        <v>339</v>
      </c>
      <c r="B86" s="133"/>
      <c r="C86" s="133"/>
      <c r="D86" s="133"/>
      <c r="E86" s="133"/>
      <c r="F86" s="133"/>
      <c r="G86" s="134"/>
      <c r="H86" s="133"/>
      <c r="I86" s="133"/>
      <c r="J86" s="133"/>
      <c r="K86" s="133"/>
      <c r="L86" s="133"/>
      <c r="M86" s="133"/>
      <c r="N86" s="133"/>
      <c r="O86" s="133"/>
      <c r="P86" s="133"/>
      <c r="Q86" s="133"/>
      <c r="R86" s="133"/>
      <c r="S86" s="133"/>
      <c r="T86" s="133"/>
      <c r="U86" s="136"/>
      <c r="V86" s="133"/>
      <c r="W86" s="133"/>
      <c r="X86" s="133"/>
      <c r="Y86" s="133"/>
      <c r="Z86" s="133"/>
      <c r="AA86" s="119"/>
    </row>
    <row r="87" spans="1:27" ht="15.6" x14ac:dyDescent="0.35">
      <c r="A87" s="138"/>
      <c r="B87" s="139"/>
      <c r="C87" s="139"/>
      <c r="D87" s="139"/>
      <c r="E87" s="139"/>
      <c r="F87" s="139"/>
      <c r="G87" s="162" t="s">
        <v>431</v>
      </c>
      <c r="H87" s="211">
        <f>IOUT</f>
        <v>8</v>
      </c>
      <c r="I87" s="141" t="s">
        <v>11</v>
      </c>
      <c r="J87" s="180"/>
      <c r="K87" s="180"/>
      <c r="L87" s="180"/>
      <c r="M87" s="180"/>
      <c r="N87" s="180"/>
      <c r="O87" s="180"/>
      <c r="P87" s="180"/>
      <c r="Q87" s="180"/>
      <c r="R87" s="180"/>
      <c r="S87" s="180"/>
      <c r="T87" s="180"/>
      <c r="U87" s="167"/>
      <c r="V87" s="171"/>
      <c r="W87" s="180"/>
      <c r="X87" s="180"/>
      <c r="Y87" s="180"/>
      <c r="Z87" s="180"/>
      <c r="AA87" s="119"/>
    </row>
    <row r="88" spans="1:27" ht="15.6" x14ac:dyDescent="0.35">
      <c r="A88" s="142"/>
      <c r="B88" s="136"/>
      <c r="C88" s="136"/>
      <c r="D88" s="136"/>
      <c r="E88" s="136"/>
      <c r="F88" s="136"/>
      <c r="G88" s="158" t="s">
        <v>341</v>
      </c>
      <c r="H88" s="192">
        <v>65</v>
      </c>
      <c r="I88" s="144" t="s">
        <v>151</v>
      </c>
      <c r="J88" s="180"/>
      <c r="K88" s="180"/>
      <c r="L88" s="180"/>
      <c r="M88" s="180"/>
      <c r="N88" s="180"/>
      <c r="O88" s="180"/>
      <c r="P88" s="180"/>
      <c r="Q88" s="180"/>
      <c r="R88" s="180"/>
      <c r="S88" s="180"/>
      <c r="T88" s="180"/>
      <c r="U88" s="167"/>
      <c r="V88" s="171"/>
      <c r="W88" s="180"/>
      <c r="X88" s="180"/>
      <c r="Y88" s="180"/>
      <c r="Z88" s="180"/>
      <c r="AA88" s="119"/>
    </row>
    <row r="89" spans="1:27" ht="15" thickBot="1" x14ac:dyDescent="0.35">
      <c r="A89" s="156"/>
      <c r="B89" s="150"/>
      <c r="C89" s="150"/>
      <c r="D89" s="150"/>
      <c r="E89" s="150"/>
      <c r="F89" s="150"/>
      <c r="G89" s="160" t="s">
        <v>349</v>
      </c>
      <c r="H89" s="198">
        <v>160</v>
      </c>
      <c r="I89" s="152" t="s">
        <v>336</v>
      </c>
      <c r="J89" s="180"/>
      <c r="K89" s="180"/>
      <c r="L89" s="180"/>
      <c r="M89" s="180"/>
      <c r="N89" s="180"/>
      <c r="O89" s="180"/>
      <c r="P89" s="180"/>
      <c r="Q89" s="180"/>
      <c r="R89" s="180"/>
      <c r="S89" s="180"/>
      <c r="T89" s="180"/>
      <c r="U89" s="167"/>
      <c r="V89" s="171"/>
      <c r="W89" s="180"/>
      <c r="X89" s="180"/>
      <c r="Y89" s="180"/>
      <c r="Z89" s="180"/>
      <c r="AA89" s="119"/>
    </row>
    <row r="90" spans="1:27" x14ac:dyDescent="0.3">
      <c r="A90" s="133"/>
      <c r="B90" s="133"/>
      <c r="C90" s="133"/>
      <c r="D90" s="133"/>
      <c r="E90" s="133"/>
      <c r="F90" s="133"/>
      <c r="G90" s="134"/>
      <c r="H90" s="133"/>
      <c r="I90" s="133"/>
      <c r="J90" s="133"/>
      <c r="K90" s="133"/>
      <c r="L90" s="133"/>
      <c r="M90" s="133"/>
      <c r="N90" s="133"/>
      <c r="O90" s="133"/>
      <c r="P90" s="133"/>
      <c r="Q90" s="133"/>
      <c r="R90" s="133"/>
      <c r="S90" s="133"/>
      <c r="T90" s="133"/>
      <c r="U90" s="136"/>
      <c r="V90" s="133"/>
      <c r="W90" s="133"/>
      <c r="X90" s="133"/>
      <c r="Y90" s="133"/>
      <c r="Z90" s="133"/>
      <c r="AA90" s="119"/>
    </row>
    <row r="91" spans="1:27" x14ac:dyDescent="0.3">
      <c r="A91" s="133"/>
      <c r="B91" s="133"/>
      <c r="C91" s="133"/>
      <c r="D91" s="133"/>
      <c r="E91" s="133"/>
      <c r="F91" s="133"/>
      <c r="G91" s="134"/>
      <c r="H91" s="133"/>
      <c r="I91" s="133"/>
      <c r="J91" s="133"/>
      <c r="K91" s="133"/>
      <c r="L91" s="133"/>
      <c r="M91" s="133"/>
      <c r="N91" s="133"/>
      <c r="O91" s="133"/>
      <c r="P91" s="133"/>
      <c r="Q91" s="133"/>
      <c r="R91" s="133"/>
      <c r="S91" s="133"/>
      <c r="T91" s="133"/>
      <c r="U91" s="136"/>
      <c r="V91" s="133"/>
      <c r="W91" s="133"/>
      <c r="X91" s="133"/>
      <c r="Y91" s="133"/>
      <c r="Z91" s="133"/>
      <c r="AA91" s="119"/>
    </row>
    <row r="92" spans="1:27" x14ac:dyDescent="0.3">
      <c r="A92" s="133"/>
      <c r="B92" s="133"/>
      <c r="C92" s="133"/>
      <c r="D92" s="133"/>
      <c r="E92" s="133"/>
      <c r="F92" s="133"/>
      <c r="G92" s="134"/>
      <c r="H92" s="133"/>
      <c r="I92" s="133"/>
      <c r="J92" s="133"/>
      <c r="K92" s="133"/>
      <c r="L92" s="133"/>
      <c r="M92" s="133"/>
      <c r="N92" s="133"/>
      <c r="O92" s="133"/>
      <c r="P92" s="133"/>
      <c r="Q92" s="133"/>
      <c r="R92" s="133"/>
      <c r="S92" s="133"/>
      <c r="T92" s="133"/>
      <c r="U92" s="136"/>
      <c r="V92" s="133"/>
      <c r="W92" s="133"/>
      <c r="X92" s="133"/>
      <c r="Y92" s="133"/>
      <c r="Z92" s="133"/>
      <c r="AA92" s="119"/>
    </row>
    <row r="93" spans="1:27" x14ac:dyDescent="0.3">
      <c r="A93" s="133"/>
      <c r="B93" s="133"/>
      <c r="C93" s="133"/>
      <c r="D93" s="133"/>
      <c r="E93" s="133"/>
      <c r="F93" s="133"/>
      <c r="G93" s="134"/>
      <c r="H93" s="133"/>
      <c r="I93" s="133"/>
      <c r="J93" s="133"/>
      <c r="K93" s="133"/>
      <c r="L93" s="133"/>
      <c r="M93" s="133"/>
      <c r="N93" s="133"/>
      <c r="O93" s="133"/>
      <c r="P93" s="133"/>
      <c r="Q93" s="133"/>
      <c r="R93" s="133"/>
      <c r="S93" s="133"/>
      <c r="T93" s="133"/>
      <c r="U93" s="136"/>
      <c r="V93" s="133"/>
      <c r="W93" s="133"/>
      <c r="X93" s="133"/>
      <c r="Y93" s="133"/>
      <c r="Z93" s="133"/>
      <c r="AA93" s="119"/>
    </row>
    <row r="94" spans="1:27" x14ac:dyDescent="0.3">
      <c r="A94" s="133"/>
      <c r="B94" s="133"/>
      <c r="C94" s="133"/>
      <c r="D94" s="133"/>
      <c r="E94" s="133"/>
      <c r="F94" s="133"/>
      <c r="G94" s="134"/>
      <c r="H94" s="133"/>
      <c r="I94" s="133"/>
      <c r="J94" s="133"/>
      <c r="K94" s="133"/>
      <c r="L94" s="133"/>
      <c r="M94" s="133"/>
      <c r="N94" s="133"/>
      <c r="O94" s="133"/>
      <c r="P94" s="133"/>
      <c r="Q94" s="133"/>
      <c r="R94" s="133"/>
      <c r="S94" s="133"/>
      <c r="T94" s="133"/>
      <c r="U94" s="136"/>
      <c r="V94" s="133"/>
      <c r="W94" s="133"/>
      <c r="X94" s="133"/>
      <c r="Y94" s="133"/>
      <c r="Z94" s="133"/>
      <c r="AA94" s="119"/>
    </row>
    <row r="95" spans="1:27" x14ac:dyDescent="0.3">
      <c r="A95" s="133"/>
      <c r="B95" s="133"/>
      <c r="C95" s="133"/>
      <c r="D95" s="133"/>
      <c r="E95" s="133"/>
      <c r="F95" s="133"/>
      <c r="G95" s="134"/>
      <c r="H95" s="133"/>
      <c r="I95" s="133"/>
      <c r="J95" s="133"/>
      <c r="K95" s="133"/>
      <c r="L95" s="133"/>
      <c r="M95" s="133"/>
      <c r="N95" s="133"/>
      <c r="O95" s="133"/>
      <c r="P95" s="133"/>
      <c r="Q95" s="133"/>
      <c r="R95" s="133"/>
      <c r="S95" s="133"/>
      <c r="T95" s="133"/>
      <c r="U95" s="136"/>
      <c r="V95" s="133"/>
      <c r="W95" s="133"/>
      <c r="X95" s="133"/>
      <c r="Y95" s="133"/>
      <c r="Z95" s="133"/>
      <c r="AA95" s="119"/>
    </row>
    <row r="96" spans="1:27" x14ac:dyDescent="0.3">
      <c r="A96" s="133"/>
      <c r="B96" s="133"/>
      <c r="C96" s="133"/>
      <c r="D96" s="133"/>
      <c r="E96" s="133"/>
      <c r="F96" s="133"/>
      <c r="G96" s="134"/>
      <c r="H96" s="133"/>
      <c r="I96" s="133"/>
      <c r="J96" s="133"/>
      <c r="K96" s="133"/>
      <c r="L96" s="133"/>
      <c r="M96" s="133"/>
      <c r="N96" s="133"/>
      <c r="O96" s="133"/>
      <c r="P96" s="133"/>
      <c r="Q96" s="133"/>
      <c r="R96" s="133"/>
      <c r="S96" s="133"/>
      <c r="T96" s="133"/>
      <c r="U96" s="136"/>
      <c r="V96" s="133"/>
      <c r="W96" s="133"/>
      <c r="X96" s="133"/>
      <c r="Y96" s="133"/>
      <c r="Z96" s="133"/>
      <c r="AA96" s="119"/>
    </row>
    <row r="97" spans="1:27" x14ac:dyDescent="0.3">
      <c r="A97" s="133"/>
      <c r="B97" s="133"/>
      <c r="C97" s="133"/>
      <c r="D97" s="133"/>
      <c r="E97" s="133"/>
      <c r="F97" s="133"/>
      <c r="G97" s="134"/>
      <c r="H97" s="133"/>
      <c r="I97" s="133"/>
      <c r="J97" s="133"/>
      <c r="K97" s="133"/>
      <c r="L97" s="133"/>
      <c r="M97" s="133"/>
      <c r="N97" s="133"/>
      <c r="O97" s="133"/>
      <c r="P97" s="133"/>
      <c r="Q97" s="133"/>
      <c r="R97" s="133"/>
      <c r="S97" s="133"/>
      <c r="T97" s="133"/>
      <c r="U97" s="136"/>
      <c r="V97" s="133"/>
      <c r="W97" s="133"/>
      <c r="X97" s="133"/>
      <c r="Y97" s="133"/>
      <c r="Z97" s="133"/>
      <c r="AA97" s="119"/>
    </row>
    <row r="98" spans="1:27" x14ac:dyDescent="0.3">
      <c r="A98" s="133"/>
      <c r="B98" s="133"/>
      <c r="C98" s="133"/>
      <c r="D98" s="133"/>
      <c r="E98" s="133"/>
      <c r="F98" s="133"/>
      <c r="G98" s="134"/>
      <c r="H98" s="133"/>
      <c r="I98" s="133"/>
      <c r="J98" s="133"/>
      <c r="K98" s="133"/>
      <c r="L98" s="133"/>
      <c r="M98" s="133"/>
      <c r="N98" s="133"/>
      <c r="O98" s="133"/>
      <c r="P98" s="133"/>
      <c r="Q98" s="133"/>
      <c r="R98" s="133"/>
      <c r="S98" s="133"/>
      <c r="T98" s="133"/>
      <c r="U98" s="136"/>
      <c r="V98" s="133"/>
      <c r="W98" s="133"/>
      <c r="X98" s="133"/>
      <c r="Y98" s="133"/>
      <c r="Z98" s="133"/>
      <c r="AA98" s="119"/>
    </row>
    <row r="99" spans="1:27" x14ac:dyDescent="0.3">
      <c r="A99" s="133"/>
      <c r="B99" s="133"/>
      <c r="C99" s="133"/>
      <c r="D99" s="133"/>
      <c r="E99" s="133"/>
      <c r="F99" s="133"/>
      <c r="G99" s="134"/>
      <c r="H99" s="133"/>
      <c r="I99" s="133"/>
      <c r="J99" s="133"/>
      <c r="K99" s="133"/>
      <c r="L99" s="133"/>
      <c r="M99" s="133"/>
      <c r="N99" s="133"/>
      <c r="O99" s="133"/>
      <c r="P99" s="133"/>
      <c r="Q99" s="133"/>
      <c r="R99" s="133"/>
      <c r="S99" s="133"/>
      <c r="T99" s="133"/>
      <c r="U99" s="136"/>
      <c r="V99" s="133"/>
      <c r="W99" s="133"/>
      <c r="X99" s="133"/>
      <c r="Y99" s="133"/>
      <c r="Z99" s="133"/>
      <c r="AA99" s="119"/>
    </row>
    <row r="100" spans="1:27" x14ac:dyDescent="0.3">
      <c r="A100" s="133"/>
      <c r="B100" s="133"/>
      <c r="C100" s="133"/>
      <c r="D100" s="133"/>
      <c r="E100" s="133"/>
      <c r="F100" s="133"/>
      <c r="G100" s="134"/>
      <c r="H100" s="133"/>
      <c r="I100" s="133"/>
      <c r="J100" s="133"/>
      <c r="K100" s="133"/>
      <c r="L100" s="133"/>
      <c r="M100" s="133"/>
      <c r="N100" s="133"/>
      <c r="O100" s="133"/>
      <c r="P100" s="133"/>
      <c r="Q100" s="133"/>
      <c r="R100" s="133"/>
      <c r="S100" s="133"/>
      <c r="T100" s="133"/>
      <c r="U100" s="136"/>
      <c r="V100" s="133"/>
      <c r="W100" s="133"/>
      <c r="X100" s="133"/>
      <c r="Y100" s="133"/>
      <c r="Z100" s="133"/>
      <c r="AA100" s="119"/>
    </row>
    <row r="101" spans="1:27" x14ac:dyDescent="0.3">
      <c r="A101" s="133"/>
      <c r="B101" s="133"/>
      <c r="C101" s="133"/>
      <c r="D101" s="133"/>
      <c r="E101" s="133"/>
      <c r="F101" s="133"/>
      <c r="G101" s="134"/>
      <c r="H101" s="133"/>
      <c r="I101" s="133"/>
      <c r="J101" s="133"/>
      <c r="K101" s="133"/>
      <c r="L101" s="133"/>
      <c r="M101" s="133"/>
      <c r="N101" s="133"/>
      <c r="O101" s="133"/>
      <c r="P101" s="133"/>
      <c r="Q101" s="133"/>
      <c r="R101" s="133"/>
      <c r="S101" s="133"/>
      <c r="T101" s="133"/>
      <c r="U101" s="136"/>
      <c r="V101" s="133"/>
      <c r="W101" s="133"/>
      <c r="X101" s="133"/>
      <c r="Y101" s="133"/>
      <c r="Z101" s="133"/>
      <c r="AA101" s="119"/>
    </row>
    <row r="102" spans="1:27" x14ac:dyDescent="0.3">
      <c r="A102" s="186"/>
      <c r="B102" s="186"/>
      <c r="C102" s="186"/>
      <c r="D102" s="186"/>
      <c r="E102" s="186"/>
      <c r="F102" s="186"/>
      <c r="G102" s="187"/>
      <c r="H102" s="186"/>
      <c r="I102" s="186"/>
      <c r="J102" s="186"/>
      <c r="K102" s="186"/>
      <c r="L102" s="186"/>
      <c r="M102" s="186"/>
      <c r="N102" s="186"/>
      <c r="O102" s="186"/>
      <c r="P102" s="186"/>
      <c r="Q102" s="186"/>
      <c r="R102" s="186"/>
      <c r="S102" s="186"/>
      <c r="T102" s="186"/>
      <c r="U102" s="121"/>
      <c r="V102" s="186"/>
      <c r="W102" s="186"/>
      <c r="X102" s="186"/>
      <c r="Y102" s="186"/>
      <c r="Z102" s="186"/>
      <c r="AA102" s="119"/>
    </row>
  </sheetData>
  <sheetProtection password="E1A4" sheet="1" objects="1" scenarios="1"/>
  <conditionalFormatting sqref="H7">
    <cfRule type="cellIs" dxfId="7" priority="8" operator="lessThan">
      <formula>VIN_op_min</formula>
    </cfRule>
    <cfRule type="cellIs" dxfId="6" priority="9" operator="greaterThan">
      <formula>VIN_op_max</formula>
    </cfRule>
  </conditionalFormatting>
  <conditionalFormatting sqref="H8">
    <cfRule type="cellIs" dxfId="5" priority="7" operator="notBetween">
      <formula>$H$7</formula>
      <formula>$H$9</formula>
    </cfRule>
  </conditionalFormatting>
  <conditionalFormatting sqref="H9">
    <cfRule type="cellIs" dxfId="4" priority="4" operator="greaterThan">
      <formula>45</formula>
    </cfRule>
    <cfRule type="cellIs" dxfId="3" priority="5" operator="lessThan">
      <formula>1.5</formula>
    </cfRule>
  </conditionalFormatting>
  <conditionalFormatting sqref="H16">
    <cfRule type="expression" dxfId="2" priority="1">
      <formula>$H$16&gt;$H$15</formula>
    </cfRule>
  </conditionalFormatting>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0" r:id="rId4" name="Spinner 36">
              <controlPr defaultSize="0" autoPict="0">
                <anchor moveWithCells="1" sizeWithCells="1">
                  <from>
                    <xdr:col>7</xdr:col>
                    <xdr:colOff>754380</xdr:colOff>
                    <xdr:row>58</xdr:row>
                    <xdr:rowOff>0</xdr:rowOff>
                  </from>
                  <to>
                    <xdr:col>8</xdr:col>
                    <xdr:colOff>7620</xdr:colOff>
                    <xdr:row>60</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2" id="{3156DA4E-BD6D-4D59-BE75-578F4DA2656E}">
            <xm:f>Loop_Modeling!$B$16&gt;$H$9</xm:f>
            <x14:dxf>
              <fill>
                <patternFill>
                  <bgColor rgb="FFFF0000"/>
                </patternFill>
              </fill>
            </x14:dxf>
          </x14:cfRule>
          <x14:cfRule type="expression" priority="3" id="{7C3C4F63-5EDD-4152-B02B-642721A9B522}">
            <xm:f>Loop_Modeling!$B$16&lt;$H$7</xm:f>
            <x14:dxf>
              <fill>
                <patternFill>
                  <bgColor rgb="FFFF0000"/>
                </patternFill>
              </fill>
            </x14:dxf>
          </x14:cfRule>
          <xm:sqref>H59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263"/>
  <sheetViews>
    <sheetView zoomScale="85" zoomScaleNormal="85" workbookViewId="0">
      <pane ySplit="5" topLeftCell="A6" activePane="bottomLeft" state="frozen"/>
      <selection pane="bottomLeft" activeCell="B21" sqref="B21"/>
    </sheetView>
  </sheetViews>
  <sheetFormatPr defaultRowHeight="14.4" x14ac:dyDescent="0.3"/>
  <cols>
    <col min="1" max="1" width="28.88671875" customWidth="1"/>
    <col min="2" max="2" width="19.5546875" customWidth="1"/>
    <col min="3" max="3" width="10.88671875" customWidth="1"/>
    <col min="4" max="4" width="10" bestFit="1" customWidth="1"/>
    <col min="5" max="5" width="18.5546875" customWidth="1"/>
    <col min="6" max="6" width="14.88671875" customWidth="1"/>
    <col min="7" max="7" width="15.109375" customWidth="1"/>
    <col min="8" max="8" width="12.5546875" customWidth="1"/>
    <col min="9" max="9" width="12.5546875" style="4" customWidth="1"/>
    <col min="12" max="12" width="12.44140625" bestFit="1" customWidth="1"/>
  </cols>
  <sheetData>
    <row r="1" spans="1:17" ht="28.2" x14ac:dyDescent="0.5">
      <c r="A1" s="235" t="s">
        <v>15</v>
      </c>
      <c r="B1" s="235"/>
      <c r="C1" s="235"/>
      <c r="D1" s="235"/>
      <c r="E1" s="235"/>
      <c r="F1" s="235"/>
      <c r="G1" s="235"/>
      <c r="H1" s="235"/>
      <c r="I1" s="235"/>
      <c r="J1" s="235"/>
    </row>
    <row r="2" spans="1:17" x14ac:dyDescent="0.3">
      <c r="A2" s="6"/>
      <c r="B2" s="6" t="s">
        <v>16</v>
      </c>
      <c r="C2" s="7"/>
      <c r="D2" s="5"/>
      <c r="E2" s="6"/>
      <c r="F2" s="6"/>
      <c r="G2" s="6"/>
      <c r="H2" s="6"/>
      <c r="I2" s="12"/>
      <c r="J2" s="6"/>
    </row>
    <row r="3" spans="1:17" x14ac:dyDescent="0.3">
      <c r="A3" s="6"/>
      <c r="B3" s="6" t="s">
        <v>17</v>
      </c>
      <c r="C3" s="8"/>
      <c r="D3" s="5"/>
      <c r="E3" s="6"/>
      <c r="F3" s="24" t="s">
        <v>61</v>
      </c>
      <c r="G3" s="25" t="s">
        <v>62</v>
      </c>
      <c r="H3" s="40" t="s">
        <v>65</v>
      </c>
      <c r="I3" s="12"/>
      <c r="J3" s="6"/>
    </row>
    <row r="4" spans="1:17" x14ac:dyDescent="0.3">
      <c r="A4" s="6"/>
      <c r="B4" s="6" t="s">
        <v>18</v>
      </c>
      <c r="C4" s="9"/>
      <c r="D4" s="5"/>
      <c r="E4" s="6"/>
      <c r="F4" s="6"/>
      <c r="G4" s="6"/>
      <c r="H4" s="6"/>
      <c r="I4" s="12"/>
      <c r="J4" s="6"/>
    </row>
    <row r="5" spans="1:17" x14ac:dyDescent="0.3">
      <c r="A5" s="11" t="s">
        <v>19</v>
      </c>
      <c r="B5" s="11" t="s">
        <v>20</v>
      </c>
      <c r="C5" s="11" t="s">
        <v>21</v>
      </c>
      <c r="D5" s="10"/>
      <c r="E5" s="236" t="s">
        <v>22</v>
      </c>
      <c r="F5" s="236"/>
      <c r="G5" s="236"/>
      <c r="H5" s="236"/>
      <c r="I5" s="20"/>
      <c r="J5" s="26" t="s">
        <v>23</v>
      </c>
      <c r="K5" s="11" t="s">
        <v>69</v>
      </c>
      <c r="L5" s="10"/>
      <c r="M5" s="10"/>
      <c r="N5" s="10"/>
      <c r="O5" s="10"/>
      <c r="P5" s="10"/>
      <c r="Q5" s="10"/>
    </row>
    <row r="6" spans="1:17" ht="15.6" x14ac:dyDescent="0.3">
      <c r="A6" s="19" t="s">
        <v>24</v>
      </c>
      <c r="B6" s="16"/>
      <c r="C6" s="16"/>
      <c r="D6" s="16"/>
      <c r="E6" s="17"/>
      <c r="F6" s="17"/>
      <c r="G6" s="17"/>
      <c r="H6" s="17"/>
      <c r="I6" s="17"/>
      <c r="J6" s="16"/>
      <c r="K6" s="10"/>
      <c r="L6" s="10"/>
      <c r="M6" s="10"/>
      <c r="N6" s="10"/>
      <c r="O6" s="10"/>
      <c r="P6" s="10"/>
      <c r="Q6" s="10"/>
    </row>
    <row r="7" spans="1:17" x14ac:dyDescent="0.3">
      <c r="A7" t="s">
        <v>25</v>
      </c>
      <c r="B7" s="3">
        <f>'Design Converter'!H7</f>
        <v>8</v>
      </c>
      <c r="C7" t="s">
        <v>10</v>
      </c>
      <c r="E7" t="s">
        <v>28</v>
      </c>
    </row>
    <row r="8" spans="1:17" x14ac:dyDescent="0.3">
      <c r="A8" t="s">
        <v>26</v>
      </c>
      <c r="B8" s="3">
        <f>'Design Converter'!H8</f>
        <v>14.8</v>
      </c>
      <c r="C8" t="s">
        <v>10</v>
      </c>
      <c r="E8" t="s">
        <v>29</v>
      </c>
      <c r="K8">
        <f>IF(VIN_min&lt;VIN_min,1,IF(VIN_nom&gt;VIN_max,1,0))</f>
        <v>0</v>
      </c>
    </row>
    <row r="9" spans="1:17" x14ac:dyDescent="0.3">
      <c r="A9" t="s">
        <v>27</v>
      </c>
      <c r="B9" s="3">
        <f>'Design Converter'!H9</f>
        <v>18</v>
      </c>
      <c r="C9" t="s">
        <v>10</v>
      </c>
      <c r="E9" t="s">
        <v>30</v>
      </c>
    </row>
    <row r="10" spans="1:17" s="4" customFormat="1" x14ac:dyDescent="0.3">
      <c r="A10" s="4" t="s">
        <v>66</v>
      </c>
      <c r="B10" s="3">
        <f>'Design Converter'!H12*1000</f>
        <v>1000000</v>
      </c>
      <c r="C10" s="4" t="s">
        <v>67</v>
      </c>
      <c r="E10" s="4" t="s">
        <v>68</v>
      </c>
    </row>
    <row r="11" spans="1:17" s="4" customFormat="1" x14ac:dyDescent="0.3">
      <c r="A11" s="4" t="s">
        <v>70</v>
      </c>
      <c r="B11" s="30">
        <f>((2.21*10^10)/Fsw)-955</f>
        <v>21145</v>
      </c>
      <c r="C11" s="2" t="s">
        <v>36</v>
      </c>
      <c r="E11" s="4" t="s">
        <v>71</v>
      </c>
    </row>
    <row r="13" spans="1:17" x14ac:dyDescent="0.3">
      <c r="A13" t="s">
        <v>31</v>
      </c>
      <c r="B13" s="3">
        <f>'Design Converter'!H10</f>
        <v>12</v>
      </c>
      <c r="C13" t="s">
        <v>10</v>
      </c>
      <c r="E13" t="s">
        <v>32</v>
      </c>
    </row>
    <row r="14" spans="1:17" x14ac:dyDescent="0.3">
      <c r="A14" t="s">
        <v>33</v>
      </c>
      <c r="B14" s="3">
        <f>'Design Converter'!H11</f>
        <v>8</v>
      </c>
      <c r="C14" t="s">
        <v>11</v>
      </c>
      <c r="E14" t="s">
        <v>34</v>
      </c>
    </row>
    <row r="15" spans="1:17" x14ac:dyDescent="0.3">
      <c r="A15" t="s">
        <v>35</v>
      </c>
      <c r="B15" s="1">
        <f>VOUT/IOUT</f>
        <v>1.5</v>
      </c>
      <c r="C15" s="2" t="s">
        <v>36</v>
      </c>
      <c r="E15" t="s">
        <v>41</v>
      </c>
    </row>
    <row r="16" spans="1:17" x14ac:dyDescent="0.3">
      <c r="A16" t="s">
        <v>37</v>
      </c>
      <c r="B16" s="1">
        <f>VOUT*IOUT</f>
        <v>96</v>
      </c>
      <c r="C16" s="2" t="s">
        <v>38</v>
      </c>
      <c r="E16" t="s">
        <v>40</v>
      </c>
    </row>
    <row r="17" spans="1:11" x14ac:dyDescent="0.3">
      <c r="A17" t="s">
        <v>39</v>
      </c>
      <c r="B17" s="21">
        <v>1</v>
      </c>
      <c r="E17" t="s">
        <v>434</v>
      </c>
    </row>
    <row r="19" spans="1:11" x14ac:dyDescent="0.3">
      <c r="A19" t="s">
        <v>42</v>
      </c>
      <c r="B19" s="1">
        <f>(VOUT)/(VIN_min+VOUT)</f>
        <v>0.6</v>
      </c>
      <c r="E19" t="s">
        <v>435</v>
      </c>
    </row>
    <row r="20" spans="1:11" s="4" customFormat="1" x14ac:dyDescent="0.3">
      <c r="A20" t="s">
        <v>43</v>
      </c>
      <c r="B20" s="22">
        <f>Constants!B20</f>
        <v>0.9</v>
      </c>
      <c r="C20"/>
      <c r="D20"/>
      <c r="E20" t="s">
        <v>44</v>
      </c>
    </row>
    <row r="21" spans="1:11" s="32" customFormat="1" x14ac:dyDescent="0.3">
      <c r="A21" s="32" t="s">
        <v>439</v>
      </c>
      <c r="B21" s="214">
        <f>IF(B19&gt;Dc_max_IC,1,0)</f>
        <v>0</v>
      </c>
      <c r="E21" s="32" t="s">
        <v>438</v>
      </c>
      <c r="K21" s="32">
        <f>B21</f>
        <v>0</v>
      </c>
    </row>
    <row r="22" spans="1:11" s="32" customFormat="1" x14ac:dyDescent="0.3">
      <c r="E22" s="48" t="s">
        <v>518</v>
      </c>
    </row>
    <row r="23" spans="1:11" s="32" customFormat="1" x14ac:dyDescent="0.3">
      <c r="E23" s="48"/>
    </row>
    <row r="24" spans="1:11" s="32" customFormat="1" x14ac:dyDescent="0.3">
      <c r="A24" s="32" t="s">
        <v>524</v>
      </c>
      <c r="B24" s="45">
        <v>1</v>
      </c>
      <c r="E24" s="39" t="s">
        <v>525</v>
      </c>
    </row>
    <row r="26" spans="1:11" x14ac:dyDescent="0.3">
      <c r="A26" s="31" t="s">
        <v>74</v>
      </c>
      <c r="E26" s="32"/>
    </row>
    <row r="27" spans="1:11" s="32" customFormat="1" x14ac:dyDescent="0.3">
      <c r="A27" s="215" t="s">
        <v>440</v>
      </c>
      <c r="E27" s="32" t="s">
        <v>516</v>
      </c>
    </row>
    <row r="28" spans="1:11" x14ac:dyDescent="0.3">
      <c r="A28" t="s">
        <v>87</v>
      </c>
      <c r="B28" s="3">
        <f>'Design Converter'!H20/100</f>
        <v>0.4</v>
      </c>
      <c r="E28" t="s">
        <v>99</v>
      </c>
    </row>
    <row r="29" spans="1:11" s="32" customFormat="1" x14ac:dyDescent="0.3">
      <c r="A29" s="32" t="s">
        <v>94</v>
      </c>
      <c r="B29" s="38">
        <f>(VIN_nom^2)/(2*ILrip*IOUT*Fsw*(VIN_nom+VOUT))</f>
        <v>1.2770522388059703E-6</v>
      </c>
      <c r="C29" s="32" t="s">
        <v>86</v>
      </c>
      <c r="E29" s="32" t="s">
        <v>517</v>
      </c>
    </row>
    <row r="31" spans="1:11" s="32" customFormat="1" x14ac:dyDescent="0.3">
      <c r="A31" s="216" t="s">
        <v>441</v>
      </c>
      <c r="E31" s="32" t="s">
        <v>515</v>
      </c>
    </row>
    <row r="32" spans="1:11" s="32" customFormat="1" x14ac:dyDescent="0.3">
      <c r="A32" s="39" t="s">
        <v>444</v>
      </c>
      <c r="B32" s="219">
        <v>0.7</v>
      </c>
      <c r="E32" s="32" t="s">
        <v>445</v>
      </c>
    </row>
    <row r="33" spans="1:5" s="32" customFormat="1" x14ac:dyDescent="0.3">
      <c r="A33" s="32" t="s">
        <v>443</v>
      </c>
      <c r="B33" s="38">
        <f>((DC_DCM_max^2)*(VIN_min^2))/(2*IOUT*VOUT*Fsw-2*IOUT*VIN_min*Fsw)</f>
        <v>4.8999999999999997E-7</v>
      </c>
      <c r="C33" s="32" t="s">
        <v>86</v>
      </c>
      <c r="E33" s="32" t="s">
        <v>442</v>
      </c>
    </row>
    <row r="34" spans="1:5" s="32" customFormat="1" x14ac:dyDescent="0.3">
      <c r="A34" s="32" t="s">
        <v>446</v>
      </c>
      <c r="B34" s="22">
        <v>0.2</v>
      </c>
      <c r="E34" s="32" t="s">
        <v>447</v>
      </c>
    </row>
    <row r="35" spans="1:5" s="32" customFormat="1" x14ac:dyDescent="0.3">
      <c r="A35" s="32" t="s">
        <v>448</v>
      </c>
      <c r="B35" s="38">
        <f>(1-M_L_DCM)*((VIN_min^2)*(1-(VIN_min/VOUT)))/(2*IOUT*VOUT*Fsw)</f>
        <v>8.8888888888888908E-8</v>
      </c>
      <c r="C35" s="32" t="s">
        <v>86</v>
      </c>
      <c r="E35" s="32" t="s">
        <v>449</v>
      </c>
    </row>
    <row r="36" spans="1:5" s="32" customFormat="1" x14ac:dyDescent="0.3">
      <c r="A36" s="32" t="s">
        <v>450</v>
      </c>
      <c r="B36" s="38">
        <f>MIN(B33,B35)</f>
        <v>8.8888888888888908E-8</v>
      </c>
      <c r="C36" s="32" t="s">
        <v>86</v>
      </c>
      <c r="E36" s="32" t="s">
        <v>451</v>
      </c>
    </row>
    <row r="37" spans="1:5" s="32" customFormat="1" x14ac:dyDescent="0.3">
      <c r="B37" s="220"/>
    </row>
    <row r="38" spans="1:5" s="32" customFormat="1" x14ac:dyDescent="0.3">
      <c r="A38" s="32" t="s">
        <v>454</v>
      </c>
      <c r="B38" s="38">
        <f>IF(B21=1,B36,Lopt_2)</f>
        <v>1.2770522388059703E-6</v>
      </c>
      <c r="E38" s="32" t="s">
        <v>452</v>
      </c>
    </row>
    <row r="39" spans="1:5" s="32" customFormat="1" x14ac:dyDescent="0.3"/>
    <row r="40" spans="1:5" x14ac:dyDescent="0.3">
      <c r="A40" t="s">
        <v>88</v>
      </c>
      <c r="B40" s="34">
        <f>'Design Converter'!H22*10^-6</f>
        <v>3.2999999999999997E-6</v>
      </c>
      <c r="C40" t="s">
        <v>86</v>
      </c>
      <c r="E40" t="s">
        <v>89</v>
      </c>
    </row>
    <row r="41" spans="1:5" s="32" customFormat="1" x14ac:dyDescent="0.3">
      <c r="B41" s="34">
        <f>Lm</f>
        <v>3.2999999999999997E-6</v>
      </c>
      <c r="E41" s="32" t="s">
        <v>527</v>
      </c>
    </row>
    <row r="42" spans="1:5" s="32" customFormat="1" ht="15.6" customHeight="1" x14ac:dyDescent="0.3">
      <c r="A42" s="32" t="s">
        <v>521</v>
      </c>
      <c r="B42" s="230">
        <f>Lm</f>
        <v>3.2999999999999997E-6</v>
      </c>
      <c r="E42" s="32" t="s">
        <v>522</v>
      </c>
    </row>
    <row r="43" spans="1:5" s="32" customFormat="1" ht="15.6" customHeight="1" x14ac:dyDescent="0.3">
      <c r="B43" s="34">
        <f>Lm</f>
        <v>3.2999999999999997E-6</v>
      </c>
      <c r="E43" s="32" t="s">
        <v>527</v>
      </c>
    </row>
    <row r="44" spans="1:5" s="32" customFormat="1" x14ac:dyDescent="0.3">
      <c r="A44" s="32" t="s">
        <v>526</v>
      </c>
      <c r="B44" s="230">
        <f>Lm</f>
        <v>3.2999999999999997E-6</v>
      </c>
      <c r="E44" s="32" t="s">
        <v>523</v>
      </c>
    </row>
    <row r="45" spans="1:5" s="32" customFormat="1" x14ac:dyDescent="0.3">
      <c r="B45" s="230"/>
    </row>
    <row r="46" spans="1:5" x14ac:dyDescent="0.3">
      <c r="A46" t="s">
        <v>91</v>
      </c>
      <c r="B46" s="3">
        <f>10*10^-3</f>
        <v>0.01</v>
      </c>
      <c r="C46" s="2" t="s">
        <v>36</v>
      </c>
      <c r="E46" t="s">
        <v>109</v>
      </c>
    </row>
    <row r="47" spans="1:5" s="32" customFormat="1" x14ac:dyDescent="0.3">
      <c r="A47" s="32" t="s">
        <v>110</v>
      </c>
      <c r="B47" s="22">
        <v>0.2</v>
      </c>
      <c r="C47" s="2"/>
      <c r="E47" s="32" t="s">
        <v>111</v>
      </c>
    </row>
    <row r="48" spans="1:5" x14ac:dyDescent="0.3">
      <c r="B48" t="s">
        <v>95</v>
      </c>
    </row>
    <row r="49" spans="1:5" s="32" customFormat="1" x14ac:dyDescent="0.3">
      <c r="A49" s="48" t="s">
        <v>455</v>
      </c>
    </row>
    <row r="50" spans="1:5" s="32" customFormat="1" x14ac:dyDescent="0.3"/>
    <row r="51" spans="1:5" s="32" customFormat="1" x14ac:dyDescent="0.3">
      <c r="A51" s="35" t="s">
        <v>456</v>
      </c>
    </row>
    <row r="52" spans="1:5" s="32" customFormat="1" x14ac:dyDescent="0.3">
      <c r="A52" s="32" t="s">
        <v>457</v>
      </c>
      <c r="B52" s="32">
        <v>1</v>
      </c>
      <c r="E52" s="32" t="s">
        <v>579</v>
      </c>
    </row>
    <row r="53" spans="1:5" s="32" customFormat="1" x14ac:dyDescent="0.3">
      <c r="A53" s="32" t="s">
        <v>78</v>
      </c>
      <c r="B53" s="228">
        <f>IF(B52=0,SQRT((2*IOUT*Lm*Fsw*VOUT/(VIN_min^2))),(VOUT/(VIN_min+VOUT)))</f>
        <v>0.6</v>
      </c>
      <c r="E53" s="32" t="s">
        <v>541</v>
      </c>
    </row>
    <row r="54" spans="1:5" s="32" customFormat="1" x14ac:dyDescent="0.3">
      <c r="B54" s="23">
        <f>B53/Fsw</f>
        <v>5.9999999999999997E-7</v>
      </c>
      <c r="C54" s="32" t="s">
        <v>52</v>
      </c>
      <c r="E54" s="32" t="s">
        <v>276</v>
      </c>
    </row>
    <row r="55" spans="1:5" s="32" customFormat="1" x14ac:dyDescent="0.3">
      <c r="A55" s="231" t="s">
        <v>520</v>
      </c>
      <c r="B55" s="229"/>
    </row>
    <row r="56" spans="1:5" s="32" customFormat="1" x14ac:dyDescent="0.3">
      <c r="A56" s="32" t="s">
        <v>528</v>
      </c>
      <c r="B56" s="29">
        <f>(VOUT*IOUT)/(VIN_min)</f>
        <v>12</v>
      </c>
      <c r="C56" s="32" t="s">
        <v>11</v>
      </c>
      <c r="E56" s="32" t="s">
        <v>83</v>
      </c>
    </row>
    <row r="57" spans="1:5" s="32" customFormat="1" x14ac:dyDescent="0.3">
      <c r="A57" s="32" t="s">
        <v>529</v>
      </c>
      <c r="B57" s="28">
        <f>(VIN_min*Dc_VIN_min)/(Lm_A*Fsw)</f>
        <v>1.4545454545454546</v>
      </c>
      <c r="C57" s="32" t="s">
        <v>11</v>
      </c>
      <c r="E57" s="32" t="s">
        <v>97</v>
      </c>
    </row>
    <row r="58" spans="1:5" x14ac:dyDescent="0.3">
      <c r="A58" t="s">
        <v>530</v>
      </c>
      <c r="B58" s="28">
        <f>IF(B52=0,(VIN_min*Dc_VIN_min)/(Lm*Fsw),(ILA_avg_VIN_min/EFF_est)+(ILArip_VINmin/2))</f>
        <v>12.727272727272727</v>
      </c>
      <c r="C58" t="s">
        <v>11</v>
      </c>
      <c r="E58" t="s">
        <v>96</v>
      </c>
    </row>
    <row r="59" spans="1:5" s="32" customFormat="1" x14ac:dyDescent="0.3">
      <c r="B59" s="23"/>
    </row>
    <row r="60" spans="1:5" s="32" customFormat="1" x14ac:dyDescent="0.3">
      <c r="A60" s="231" t="s">
        <v>537</v>
      </c>
      <c r="B60" s="23"/>
      <c r="E60" s="32" t="s">
        <v>552</v>
      </c>
    </row>
    <row r="61" spans="1:5" s="32" customFormat="1" x14ac:dyDescent="0.3">
      <c r="A61" s="32" t="s">
        <v>538</v>
      </c>
      <c r="B61" s="23">
        <f>IOUT</f>
        <v>8</v>
      </c>
      <c r="C61" s="32" t="s">
        <v>11</v>
      </c>
    </row>
    <row r="62" spans="1:5" s="32" customFormat="1" x14ac:dyDescent="0.3">
      <c r="A62" s="32" t="s">
        <v>539</v>
      </c>
      <c r="B62" s="23">
        <f>(VIN_min*Dc_VIN_min)/(Lm*Fsw)</f>
        <v>1.4545454545454546</v>
      </c>
      <c r="C62" s="32" t="s">
        <v>11</v>
      </c>
    </row>
    <row r="63" spans="1:5" s="32" customFormat="1" x14ac:dyDescent="0.3">
      <c r="A63" s="32" t="s">
        <v>540</v>
      </c>
      <c r="B63" s="23">
        <f>B61+B62/2</f>
        <v>8.7272727272727266</v>
      </c>
      <c r="C63" s="32" t="s">
        <v>11</v>
      </c>
    </row>
    <row r="64" spans="1:5" s="32" customFormat="1" x14ac:dyDescent="0.3">
      <c r="B64" s="28"/>
    </row>
    <row r="65" spans="1:5" s="32" customFormat="1" x14ac:dyDescent="0.3">
      <c r="A65" s="231" t="s">
        <v>542</v>
      </c>
      <c r="B65" s="232"/>
    </row>
    <row r="66" spans="1:5" s="32" customFormat="1" x14ac:dyDescent="0.3">
      <c r="A66" s="32" t="s">
        <v>543</v>
      </c>
      <c r="B66" s="28">
        <f>ILA_avg_VIN_min+B61+B62</f>
        <v>21.454545454545453</v>
      </c>
      <c r="C66" s="32" t="s">
        <v>11</v>
      </c>
    </row>
    <row r="67" spans="1:5" s="32" customFormat="1" x14ac:dyDescent="0.3">
      <c r="B67" s="232"/>
    </row>
    <row r="68" spans="1:5" s="32" customFormat="1" x14ac:dyDescent="0.3">
      <c r="A68" s="35" t="s">
        <v>29</v>
      </c>
      <c r="B68" s="27"/>
    </row>
    <row r="69" spans="1:5" s="32" customFormat="1" x14ac:dyDescent="0.3">
      <c r="A69" s="32" t="s">
        <v>459</v>
      </c>
      <c r="B69" s="32">
        <f>IF(((VIN_nom^2)*VOUT)/(2*Fsw*Lm*((VIN_nom+VOUT)^2))&gt;IOUT,0,1)</f>
        <v>1</v>
      </c>
      <c r="E69" s="32" t="s">
        <v>458</v>
      </c>
    </row>
    <row r="70" spans="1:5" s="32" customFormat="1" x14ac:dyDescent="0.3">
      <c r="A70" s="32" t="s">
        <v>79</v>
      </c>
      <c r="B70" s="1">
        <f>IF(B52=0,SQRT((2*IOUT*Lm*Fsw*VOUT/(VIN_nom^2))),(VOUT/(VIN_nom+VOUT)))</f>
        <v>0.44776119402985076</v>
      </c>
      <c r="E70" s="32" t="s">
        <v>436</v>
      </c>
    </row>
    <row r="71" spans="1:5" s="32" customFormat="1" x14ac:dyDescent="0.3">
      <c r="B71" s="23">
        <f>B70/Fsw</f>
        <v>4.4776119402985079E-7</v>
      </c>
      <c r="C71" s="32" t="s">
        <v>52</v>
      </c>
      <c r="E71" s="32" t="s">
        <v>276</v>
      </c>
    </row>
    <row r="72" spans="1:5" s="32" customFormat="1" x14ac:dyDescent="0.3">
      <c r="A72" s="231" t="s">
        <v>520</v>
      </c>
      <c r="B72" s="229"/>
    </row>
    <row r="73" spans="1:5" s="32" customFormat="1" x14ac:dyDescent="0.3">
      <c r="A73" s="32" t="s">
        <v>531</v>
      </c>
      <c r="B73" s="29">
        <f>(VOUT*IOUT)/(VIN_nom)</f>
        <v>6.486486486486486</v>
      </c>
      <c r="C73" s="32" t="s">
        <v>11</v>
      </c>
      <c r="E73" s="32" t="s">
        <v>84</v>
      </c>
    </row>
    <row r="74" spans="1:5" x14ac:dyDescent="0.3">
      <c r="A74" s="32" t="s">
        <v>532</v>
      </c>
      <c r="B74" s="28">
        <f>(VIN_nom*Dc_VIN_nom)/(Lm*Fsw)</f>
        <v>2.0081411126187247</v>
      </c>
      <c r="C74" s="32" t="s">
        <v>11</v>
      </c>
      <c r="E74" s="32" t="s">
        <v>100</v>
      </c>
    </row>
    <row r="75" spans="1:5" x14ac:dyDescent="0.3">
      <c r="A75" s="32" t="s">
        <v>533</v>
      </c>
      <c r="B75" s="28">
        <f>IF(B69=0,(VIN_nom*Dc_VIN_nom)/(Lm*Fsw),(ILA_avg_VIN_nom/EFF_est)+(ILArip_VINnom/2))</f>
        <v>7.4905570427958486</v>
      </c>
      <c r="C75" s="32" t="s">
        <v>11</v>
      </c>
      <c r="E75" s="32" t="s">
        <v>101</v>
      </c>
    </row>
    <row r="76" spans="1:5" s="32" customFormat="1" x14ac:dyDescent="0.3">
      <c r="B76" s="232"/>
    </row>
    <row r="77" spans="1:5" s="32" customFormat="1" x14ac:dyDescent="0.3">
      <c r="A77" s="231" t="s">
        <v>537</v>
      </c>
      <c r="B77" s="229"/>
    </row>
    <row r="78" spans="1:5" s="32" customFormat="1" x14ac:dyDescent="0.3">
      <c r="A78" s="32" t="s">
        <v>544</v>
      </c>
      <c r="B78" s="23">
        <f>IOUT</f>
        <v>8</v>
      </c>
      <c r="C78" s="32" t="s">
        <v>11</v>
      </c>
      <c r="E78" s="32" t="s">
        <v>552</v>
      </c>
    </row>
    <row r="79" spans="1:5" s="32" customFormat="1" x14ac:dyDescent="0.3">
      <c r="A79" s="32" t="s">
        <v>545</v>
      </c>
      <c r="B79" s="23">
        <f>(VIN_nom*Dc_VIN_nom)/(Lm*Fsw)</f>
        <v>2.0081411126187247</v>
      </c>
      <c r="C79" s="32" t="s">
        <v>11</v>
      </c>
    </row>
    <row r="80" spans="1:5" s="32" customFormat="1" x14ac:dyDescent="0.3">
      <c r="A80" s="32" t="s">
        <v>546</v>
      </c>
      <c r="B80" s="23">
        <f>B78+B79/2</f>
        <v>9.0040705563093617</v>
      </c>
      <c r="C80" s="32" t="s">
        <v>11</v>
      </c>
    </row>
    <row r="81" spans="1:5" s="32" customFormat="1" x14ac:dyDescent="0.3">
      <c r="B81" s="232"/>
    </row>
    <row r="82" spans="1:5" s="32" customFormat="1" x14ac:dyDescent="0.3">
      <c r="A82" s="231" t="s">
        <v>542</v>
      </c>
      <c r="B82" s="232"/>
    </row>
    <row r="83" spans="1:5" s="32" customFormat="1" x14ac:dyDescent="0.3">
      <c r="A83" s="32" t="s">
        <v>547</v>
      </c>
      <c r="B83" s="28">
        <f>ILA_avg_VIN_nom+B78+B79</f>
        <v>16.494627599105211</v>
      </c>
      <c r="C83" s="32" t="s">
        <v>11</v>
      </c>
    </row>
    <row r="84" spans="1:5" s="32" customFormat="1" x14ac:dyDescent="0.3">
      <c r="B84" s="27"/>
    </row>
    <row r="85" spans="1:5" s="32" customFormat="1" x14ac:dyDescent="0.3">
      <c r="A85" s="35" t="s">
        <v>30</v>
      </c>
      <c r="B85" s="27"/>
    </row>
    <row r="86" spans="1:5" s="32" customFormat="1" x14ac:dyDescent="0.3">
      <c r="A86" s="32" t="s">
        <v>460</v>
      </c>
      <c r="B86" s="32">
        <f>IF(((VIN_nom^2)*VOUT)/(2*Fsw*Lm*((VIN_nom+VOUT)^2))&gt;IOUT,0,1)</f>
        <v>1</v>
      </c>
      <c r="E86" s="32" t="s">
        <v>458</v>
      </c>
    </row>
    <row r="87" spans="1:5" s="32" customFormat="1" x14ac:dyDescent="0.3">
      <c r="A87" s="32" t="s">
        <v>80</v>
      </c>
      <c r="B87" s="1">
        <f>IF(B86=0,SQRT((2*IOUT*Lm*Fsw*VOUT/(VIN_max^2))),(VOUT/(VIN_max+VOUT)))</f>
        <v>0.4</v>
      </c>
      <c r="E87" s="32" t="s">
        <v>437</v>
      </c>
    </row>
    <row r="88" spans="1:5" s="32" customFormat="1" x14ac:dyDescent="0.3">
      <c r="B88" s="23">
        <f>B87/Fsw</f>
        <v>4.0000000000000003E-7</v>
      </c>
      <c r="C88" s="32" t="s">
        <v>52</v>
      </c>
      <c r="E88" s="32" t="s">
        <v>276</v>
      </c>
    </row>
    <row r="89" spans="1:5" s="32" customFormat="1" x14ac:dyDescent="0.3">
      <c r="A89" s="231" t="s">
        <v>520</v>
      </c>
      <c r="B89" s="229"/>
    </row>
    <row r="90" spans="1:5" s="32" customFormat="1" x14ac:dyDescent="0.3">
      <c r="A90" s="32" t="s">
        <v>534</v>
      </c>
      <c r="B90" s="29">
        <f>(VOUT*IOUT)/(VIN_max)</f>
        <v>5.333333333333333</v>
      </c>
      <c r="C90" s="32" t="s">
        <v>11</v>
      </c>
      <c r="E90" s="32" t="s">
        <v>85</v>
      </c>
    </row>
    <row r="91" spans="1:5" x14ac:dyDescent="0.3">
      <c r="A91" s="32" t="s">
        <v>535</v>
      </c>
      <c r="B91" s="28">
        <f>(VIN_max*Dc_VIN_max)/(Lm*Fsw)</f>
        <v>2.1818181818181821</v>
      </c>
      <c r="C91" s="32" t="s">
        <v>11</v>
      </c>
      <c r="E91" s="32" t="s">
        <v>102</v>
      </c>
    </row>
    <row r="92" spans="1:5" x14ac:dyDescent="0.3">
      <c r="A92" s="32" t="s">
        <v>536</v>
      </c>
      <c r="B92" s="28">
        <f>ILA_avg_VIN_max+ILArip_VINmax/2</f>
        <v>6.4242424242424239</v>
      </c>
      <c r="C92" s="32" t="s">
        <v>11</v>
      </c>
      <c r="E92" s="32" t="s">
        <v>103</v>
      </c>
    </row>
    <row r="94" spans="1:5" s="32" customFormat="1" x14ac:dyDescent="0.3">
      <c r="A94" s="231" t="s">
        <v>537</v>
      </c>
      <c r="B94" s="229"/>
      <c r="E94" s="32" t="s">
        <v>552</v>
      </c>
    </row>
    <row r="95" spans="1:5" s="32" customFormat="1" x14ac:dyDescent="0.3">
      <c r="A95" s="32" t="s">
        <v>548</v>
      </c>
      <c r="B95" s="23">
        <f>IOUT</f>
        <v>8</v>
      </c>
      <c r="C95" s="32" t="s">
        <v>11</v>
      </c>
    </row>
    <row r="96" spans="1:5" s="32" customFormat="1" x14ac:dyDescent="0.3">
      <c r="A96" s="32" t="s">
        <v>549</v>
      </c>
      <c r="B96" s="23">
        <f>(VIN_max*Dc_VIN_max)/(Lm*Fsw)</f>
        <v>2.1818181818181821</v>
      </c>
      <c r="C96" s="32" t="s">
        <v>11</v>
      </c>
    </row>
    <row r="97" spans="1:5" s="32" customFormat="1" x14ac:dyDescent="0.3">
      <c r="A97" s="32" t="s">
        <v>550</v>
      </c>
      <c r="B97" s="23">
        <f>B95+B96/2</f>
        <v>9.0909090909090917</v>
      </c>
      <c r="C97" s="32" t="s">
        <v>11</v>
      </c>
    </row>
    <row r="98" spans="1:5" s="32" customFormat="1" x14ac:dyDescent="0.3">
      <c r="B98" s="28"/>
    </row>
    <row r="99" spans="1:5" s="32" customFormat="1" x14ac:dyDescent="0.3">
      <c r="A99" s="231" t="s">
        <v>542</v>
      </c>
      <c r="B99" s="232"/>
    </row>
    <row r="100" spans="1:5" s="32" customFormat="1" x14ac:dyDescent="0.3">
      <c r="A100" s="32" t="s">
        <v>551</v>
      </c>
      <c r="B100" s="28">
        <f>ILA_avg_VIN_max+B95+B96</f>
        <v>15.515151515151514</v>
      </c>
      <c r="C100" s="32" t="s">
        <v>11</v>
      </c>
    </row>
    <row r="101" spans="1:5" s="32" customFormat="1" x14ac:dyDescent="0.3">
      <c r="B101" s="232"/>
    </row>
    <row r="102" spans="1:5" x14ac:dyDescent="0.3">
      <c r="A102" s="31" t="s">
        <v>98</v>
      </c>
    </row>
    <row r="103" spans="1:5" x14ac:dyDescent="0.3">
      <c r="A103" t="s">
        <v>105</v>
      </c>
      <c r="B103" s="3">
        <f>'Design Converter'!H26/100</f>
        <v>0.15</v>
      </c>
      <c r="E103" t="s">
        <v>106</v>
      </c>
    </row>
    <row r="104" spans="1:5" x14ac:dyDescent="0.3">
      <c r="A104" t="s">
        <v>107</v>
      </c>
      <c r="B104" s="29">
        <f>(1+Ipk_margin)*ISW_peak_VIN_min</f>
        <v>24.672727272727268</v>
      </c>
      <c r="C104" t="s">
        <v>11</v>
      </c>
      <c r="E104" t="s">
        <v>108</v>
      </c>
    </row>
    <row r="105" spans="1:5" s="32" customFormat="1" x14ac:dyDescent="0.3">
      <c r="B105" s="29"/>
    </row>
    <row r="106" spans="1:5" s="32" customFormat="1" x14ac:dyDescent="0.3">
      <c r="A106" s="32" t="s">
        <v>114</v>
      </c>
      <c r="B106" s="22">
        <v>0.7</v>
      </c>
      <c r="E106" s="32" t="s">
        <v>115</v>
      </c>
    </row>
    <row r="107" spans="1:5" x14ac:dyDescent="0.3">
      <c r="A107" t="s">
        <v>112</v>
      </c>
      <c r="B107" s="38">
        <f>(1/B106)*((Fsw*Isl*Rsl_int*Lm)/(VOUT))</f>
        <v>1.571035714285714E-2</v>
      </c>
      <c r="C107" s="2" t="s">
        <v>36</v>
      </c>
      <c r="E107" t="s">
        <v>113</v>
      </c>
    </row>
    <row r="108" spans="1:5" x14ac:dyDescent="0.3">
      <c r="A108" t="s">
        <v>120</v>
      </c>
      <c r="B108" s="38">
        <f>Vcl/Ipk_selected</f>
        <v>4.0530582166543854E-3</v>
      </c>
      <c r="C108" s="2" t="s">
        <v>36</v>
      </c>
      <c r="E108" t="s">
        <v>121</v>
      </c>
    </row>
    <row r="109" spans="1:5" s="32" customFormat="1" x14ac:dyDescent="0.3">
      <c r="B109" s="27"/>
    </row>
    <row r="110" spans="1:5" s="32" customFormat="1" x14ac:dyDescent="0.3">
      <c r="A110" s="32" t="s">
        <v>126</v>
      </c>
      <c r="B110" s="22">
        <v>0.83299999999999996</v>
      </c>
      <c r="E110" s="32" t="s">
        <v>464</v>
      </c>
    </row>
    <row r="111" spans="1:5" x14ac:dyDescent="0.3">
      <c r="A111" t="s">
        <v>125</v>
      </c>
      <c r="B111" s="37">
        <f>(Lm*Fsw*(Vcl+(Dc_VIN_min*Isl*Rsl_int)))/((Dc_VIN_min*Kslope*VOUT)+(Ipk_selected*Lm*Fsw))</f>
        <v>4.680753074895674E-3</v>
      </c>
      <c r="C111" s="2" t="s">
        <v>36</v>
      </c>
      <c r="E111" t="s">
        <v>133</v>
      </c>
    </row>
    <row r="112" spans="1:5" x14ac:dyDescent="0.3">
      <c r="A112" t="s">
        <v>127</v>
      </c>
      <c r="B112" s="28">
        <f>(Vcl-(Ipk_selected*Rcs_w_sl))/(Isl*Dc_VIN_min)</f>
        <v>-860.38578043780615</v>
      </c>
      <c r="C112" s="2" t="s">
        <v>36</v>
      </c>
      <c r="E112" s="32" t="s">
        <v>132</v>
      </c>
    </row>
    <row r="114" spans="1:11" x14ac:dyDescent="0.3">
      <c r="A114" t="s">
        <v>124</v>
      </c>
      <c r="B114" s="1">
        <f>IF(Rcs_wo_sl&gt;Rcs_max,1,0)</f>
        <v>0</v>
      </c>
      <c r="E114" t="s">
        <v>463</v>
      </c>
    </row>
    <row r="115" spans="1:11" x14ac:dyDescent="0.3">
      <c r="A115" t="s">
        <v>128</v>
      </c>
      <c r="B115" s="41">
        <f>IF(B52=0,Rcs_wo_sl,IF(B114=0,Rcs_wo_sl,Rcs_w_sl))</f>
        <v>4.0530582166543854E-3</v>
      </c>
      <c r="C115" s="2" t="s">
        <v>36</v>
      </c>
      <c r="E115" t="s">
        <v>461</v>
      </c>
    </row>
    <row r="116" spans="1:11" x14ac:dyDescent="0.3">
      <c r="A116" t="s">
        <v>129</v>
      </c>
      <c r="B116" s="1">
        <f>IF(B52=0,0,IF(B114=0,0,B112))</f>
        <v>0</v>
      </c>
      <c r="C116" s="2" t="s">
        <v>36</v>
      </c>
      <c r="E116" t="s">
        <v>462</v>
      </c>
    </row>
    <row r="118" spans="1:11" x14ac:dyDescent="0.3">
      <c r="A118" t="s">
        <v>130</v>
      </c>
      <c r="B118" s="42">
        <f>'Design Converter'!H30/1000</f>
        <v>4.0000000000000001E-3</v>
      </c>
      <c r="C118" s="2" t="s">
        <v>36</v>
      </c>
      <c r="E118" t="s">
        <v>135</v>
      </c>
    </row>
    <row r="119" spans="1:11" x14ac:dyDescent="0.3">
      <c r="A119" t="s">
        <v>131</v>
      </c>
      <c r="B119" s="3">
        <f>'Design Converter'!H31</f>
        <v>0</v>
      </c>
      <c r="C119" s="2" t="s">
        <v>36</v>
      </c>
      <c r="E119" t="s">
        <v>136</v>
      </c>
    </row>
    <row r="121" spans="1:11" x14ac:dyDescent="0.3">
      <c r="A121" t="s">
        <v>140</v>
      </c>
      <c r="B121" s="1">
        <f>(Isl*(Rsl_int+R_sl)*Fsw)/(((VOUT-VIN_min)/Lm)*R_cs)</f>
        <v>8.247937499999999</v>
      </c>
      <c r="C121" t="s">
        <v>147</v>
      </c>
      <c r="E121" t="s">
        <v>138</v>
      </c>
      <c r="K121">
        <f>IF(B69=0,0,IF(B121&lt;0.5,1,0))</f>
        <v>0</v>
      </c>
    </row>
    <row r="122" spans="1:11" s="32" customFormat="1" x14ac:dyDescent="0.3">
      <c r="A122" s="32" t="s">
        <v>141</v>
      </c>
      <c r="B122" s="29">
        <f>(Vcl-(Isl*R_sl*Dc_VIN_min))/R_cs</f>
        <v>25</v>
      </c>
      <c r="C122" s="32" t="s">
        <v>11</v>
      </c>
      <c r="E122" s="32" t="s">
        <v>143</v>
      </c>
      <c r="K122">
        <f>IF(IL_pk&lt;Ipk_selected,1,0)</f>
        <v>0</v>
      </c>
    </row>
    <row r="123" spans="1:11" x14ac:dyDescent="0.3">
      <c r="A123" t="s">
        <v>142</v>
      </c>
      <c r="B123" s="29">
        <f>(Vcl-(Isl*R_sl*Dc_VIN_max))/R_cs</f>
        <v>25</v>
      </c>
      <c r="C123" t="s">
        <v>11</v>
      </c>
      <c r="E123" t="s">
        <v>144</v>
      </c>
    </row>
    <row r="124" spans="1:11" x14ac:dyDescent="0.3">
      <c r="A124" t="s">
        <v>145</v>
      </c>
      <c r="B124" s="1">
        <f>0.15</f>
        <v>0.15</v>
      </c>
      <c r="E124" t="s">
        <v>146</v>
      </c>
    </row>
    <row r="125" spans="1:11" x14ac:dyDescent="0.3">
      <c r="A125" t="s">
        <v>148</v>
      </c>
      <c r="B125" s="28">
        <f>(1+B124)*B123</f>
        <v>28.749999999999996</v>
      </c>
      <c r="C125" t="s">
        <v>11</v>
      </c>
      <c r="E125" t="s">
        <v>149</v>
      </c>
    </row>
    <row r="127" spans="1:11" x14ac:dyDescent="0.3">
      <c r="A127" s="35" t="s">
        <v>150</v>
      </c>
    </row>
    <row r="129" spans="1:5" s="32" customFormat="1" x14ac:dyDescent="0.3">
      <c r="A129" s="44" t="s">
        <v>562</v>
      </c>
    </row>
    <row r="130" spans="1:5" s="32" customFormat="1" x14ac:dyDescent="0.3">
      <c r="A130" s="32" t="s">
        <v>566</v>
      </c>
      <c r="B130" s="22">
        <v>0.05</v>
      </c>
    </row>
    <row r="131" spans="1:5" s="32" customFormat="1" x14ac:dyDescent="0.3">
      <c r="A131" s="32" t="s">
        <v>563</v>
      </c>
      <c r="B131" s="1">
        <f>IOUT*Dc_VIN_min/(VIN_max*VCrr*Fsw)</f>
        <v>5.3333333333333328E-6</v>
      </c>
      <c r="C131" s="32" t="s">
        <v>158</v>
      </c>
      <c r="E131" s="32" t="s">
        <v>565</v>
      </c>
    </row>
    <row r="132" spans="1:5" s="32" customFormat="1" x14ac:dyDescent="0.3">
      <c r="A132" s="32" t="s">
        <v>564</v>
      </c>
      <c r="B132" s="45">
        <f>'Design Converter'!H36*(10^-6)</f>
        <v>1.9999999999999998E-5</v>
      </c>
      <c r="C132" s="32" t="s">
        <v>158</v>
      </c>
      <c r="E132" s="32" t="s">
        <v>567</v>
      </c>
    </row>
    <row r="133" spans="1:5" s="32" customFormat="1" x14ac:dyDescent="0.3">
      <c r="A133" s="32" t="s">
        <v>569</v>
      </c>
      <c r="B133" s="29">
        <f>(IOUT*Dc_VIN_min)/(Cac*Fsw)</f>
        <v>0.24</v>
      </c>
      <c r="C133" s="32" t="s">
        <v>10</v>
      </c>
      <c r="E133" s="32" t="s">
        <v>570</v>
      </c>
    </row>
    <row r="134" spans="1:5" s="32" customFormat="1" x14ac:dyDescent="0.3">
      <c r="A134" s="32" t="s">
        <v>568</v>
      </c>
      <c r="B134" s="29">
        <f>IOUT*SQRT(VOUT/VIN_min)</f>
        <v>9.7979589711327115</v>
      </c>
      <c r="C134" s="32" t="s">
        <v>11</v>
      </c>
      <c r="E134" s="32" t="s">
        <v>571</v>
      </c>
    </row>
    <row r="135" spans="1:5" s="32" customFormat="1" x14ac:dyDescent="0.3"/>
    <row r="137" spans="1:5" x14ac:dyDescent="0.3">
      <c r="A137" s="44" t="s">
        <v>558</v>
      </c>
      <c r="E137" t="s">
        <v>465</v>
      </c>
    </row>
    <row r="139" spans="1:5" s="32" customFormat="1" x14ac:dyDescent="0.3">
      <c r="A139" s="32" t="s">
        <v>466</v>
      </c>
      <c r="B139" s="1">
        <f>IF(B52=0,Fsw/20,(((VOUT/IOUT)*((1-Dc_VIN_min)^2))/(Lm*Dc_VIN_min))/6)</f>
        <v>20202.020202020209</v>
      </c>
      <c r="C139" s="32" t="s">
        <v>511</v>
      </c>
      <c r="E139" s="32" t="s">
        <v>572</v>
      </c>
    </row>
    <row r="140" spans="1:5" x14ac:dyDescent="0.3">
      <c r="A140" t="s">
        <v>156</v>
      </c>
      <c r="B140" s="45">
        <f>'Design Converter'!H40/1000</f>
        <v>0.75</v>
      </c>
      <c r="C140" t="s">
        <v>10</v>
      </c>
      <c r="E140" t="s">
        <v>155</v>
      </c>
    </row>
    <row r="141" spans="1:5" s="32" customFormat="1" x14ac:dyDescent="0.3">
      <c r="A141" s="32" t="s">
        <v>467</v>
      </c>
      <c r="B141" s="1">
        <f>IOUT-0.5*IOUT</f>
        <v>4</v>
      </c>
      <c r="C141" s="32" t="s">
        <v>11</v>
      </c>
    </row>
    <row r="142" spans="1:5" x14ac:dyDescent="0.3">
      <c r="A142" t="s">
        <v>157</v>
      </c>
      <c r="B142" s="1">
        <f>B141/(Vout_rip_sel*B139)</f>
        <v>2.6399999999999991E-4</v>
      </c>
      <c r="C142" t="s">
        <v>158</v>
      </c>
      <c r="E142" t="s">
        <v>159</v>
      </c>
    </row>
    <row r="143" spans="1:5" x14ac:dyDescent="0.3">
      <c r="A143" t="s">
        <v>161</v>
      </c>
      <c r="B143" s="28">
        <f>IOUT*SQRT(VOUT/VIN_min)</f>
        <v>9.7979589711327115</v>
      </c>
      <c r="C143" t="s">
        <v>11</v>
      </c>
      <c r="E143" t="s">
        <v>573</v>
      </c>
    </row>
    <row r="144" spans="1:5" x14ac:dyDescent="0.3">
      <c r="A144" t="s">
        <v>165</v>
      </c>
      <c r="B144" s="3">
        <f>'Design Converter'!H43*(10^-6)</f>
        <v>5.0000000000000001E-4</v>
      </c>
      <c r="C144" t="s">
        <v>158</v>
      </c>
      <c r="E144" t="s">
        <v>164</v>
      </c>
    </row>
    <row r="145" spans="1:5" x14ac:dyDescent="0.3">
      <c r="A145" t="s">
        <v>163</v>
      </c>
      <c r="B145" s="3">
        <f>'Design Converter'!H44/1000</f>
        <v>2E-3</v>
      </c>
      <c r="C145" s="2" t="s">
        <v>36</v>
      </c>
      <c r="E145" t="s">
        <v>574</v>
      </c>
    </row>
    <row r="146" spans="1:5" s="32" customFormat="1" x14ac:dyDescent="0.3"/>
    <row r="147" spans="1:5" s="32" customFormat="1" x14ac:dyDescent="0.3">
      <c r="A147" s="44" t="s">
        <v>575</v>
      </c>
    </row>
    <row r="148" spans="1:5" s="32" customFormat="1" x14ac:dyDescent="0.3">
      <c r="A148" s="32" t="s">
        <v>278</v>
      </c>
      <c r="B148" s="22">
        <f>Iss</f>
        <v>9.9999999999999991E-6</v>
      </c>
      <c r="C148" s="32" t="s">
        <v>11</v>
      </c>
      <c r="E148" s="32" t="s">
        <v>280</v>
      </c>
    </row>
    <row r="149" spans="1:5" s="32" customFormat="1" x14ac:dyDescent="0.3">
      <c r="A149" s="32" t="s">
        <v>281</v>
      </c>
      <c r="B149" s="1">
        <f>Iss*VOUT*Cout/(Vref*IOUT)</f>
        <v>7.4999999999999993E-9</v>
      </c>
      <c r="C149" s="32" t="s">
        <v>158</v>
      </c>
      <c r="E149" s="32" t="s">
        <v>282</v>
      </c>
    </row>
    <row r="150" spans="1:5" s="32" customFormat="1" x14ac:dyDescent="0.3">
      <c r="A150" s="32" t="s">
        <v>283</v>
      </c>
      <c r="B150" s="3">
        <f>'Design Converter'!H48*(10^-3)</f>
        <v>0.02</v>
      </c>
      <c r="C150" s="32" t="s">
        <v>52</v>
      </c>
      <c r="E150" s="32" t="s">
        <v>284</v>
      </c>
    </row>
    <row r="151" spans="1:5" s="32" customFormat="1" x14ac:dyDescent="0.3">
      <c r="A151" s="32" t="s">
        <v>287</v>
      </c>
      <c r="B151" s="1">
        <f>(tss*Iss)/(Vref*(1-(VIN_min/VOUT)))</f>
        <v>5.9999999999999987E-7</v>
      </c>
      <c r="C151" s="32" t="s">
        <v>158</v>
      </c>
      <c r="E151" s="32" t="s">
        <v>288</v>
      </c>
    </row>
    <row r="152" spans="1:5" s="32" customFormat="1" x14ac:dyDescent="0.3"/>
    <row r="153" spans="1:5" s="32" customFormat="1" x14ac:dyDescent="0.3">
      <c r="A153" s="44" t="s">
        <v>576</v>
      </c>
    </row>
    <row r="154" spans="1:5" s="32" customFormat="1" x14ac:dyDescent="0.3">
      <c r="A154" s="32" t="s">
        <v>293</v>
      </c>
      <c r="B154" s="3">
        <f>'Design Converter'!H52</f>
        <v>5.8</v>
      </c>
      <c r="C154" s="32" t="s">
        <v>10</v>
      </c>
      <c r="E154" s="32" t="s">
        <v>295</v>
      </c>
    </row>
    <row r="155" spans="1:5" s="32" customFormat="1" x14ac:dyDescent="0.3">
      <c r="A155" s="32" t="s">
        <v>294</v>
      </c>
      <c r="B155" s="3">
        <f>'Design Converter'!H53</f>
        <v>5.4</v>
      </c>
      <c r="C155" s="32" t="s">
        <v>10</v>
      </c>
      <c r="E155" s="32" t="s">
        <v>296</v>
      </c>
    </row>
    <row r="156" spans="1:5" s="32" customFormat="1" x14ac:dyDescent="0.3">
      <c r="A156" s="32" t="s">
        <v>298</v>
      </c>
      <c r="B156" s="22">
        <f>UV_rise</f>
        <v>1.5</v>
      </c>
      <c r="C156" s="32" t="s">
        <v>10</v>
      </c>
      <c r="E156" s="32" t="s">
        <v>303</v>
      </c>
    </row>
    <row r="157" spans="1:5" s="32" customFormat="1" x14ac:dyDescent="0.3">
      <c r="A157" s="32" t="s">
        <v>299</v>
      </c>
      <c r="B157" s="22">
        <f>UV_fall</f>
        <v>1.45</v>
      </c>
      <c r="C157" s="32" t="s">
        <v>10</v>
      </c>
      <c r="E157" s="32" t="s">
        <v>302</v>
      </c>
    </row>
    <row r="158" spans="1:5" s="32" customFormat="1" x14ac:dyDescent="0.3">
      <c r="A158" s="32" t="s">
        <v>304</v>
      </c>
      <c r="B158" s="22">
        <f>UV_I_hyst</f>
        <v>4.9999999999999996E-6</v>
      </c>
      <c r="C158" s="32" t="s">
        <v>11</v>
      </c>
      <c r="E158" s="32" t="s">
        <v>306</v>
      </c>
    </row>
    <row r="159" spans="1:5" s="32" customFormat="1" x14ac:dyDescent="0.3">
      <c r="A159" s="32" t="s">
        <v>307</v>
      </c>
      <c r="B159" s="30">
        <f>((Vuvlo_on*0.967)-Vuvlo_off)/(UV_I_hyst)</f>
        <v>41719.999999999942</v>
      </c>
      <c r="C159" s="2" t="s">
        <v>36</v>
      </c>
      <c r="E159" s="32" t="s">
        <v>405</v>
      </c>
    </row>
    <row r="160" spans="1:5" s="32" customFormat="1" x14ac:dyDescent="0.3">
      <c r="A160" s="32" t="s">
        <v>307</v>
      </c>
      <c r="B160" s="3">
        <f>'Design Converter'!H55*1000</f>
        <v>42000</v>
      </c>
      <c r="C160" s="2" t="s">
        <v>36</v>
      </c>
      <c r="E160" s="32" t="s">
        <v>406</v>
      </c>
    </row>
    <row r="161" spans="1:5" s="32" customFormat="1" x14ac:dyDescent="0.3">
      <c r="A161" s="32" t="s">
        <v>308</v>
      </c>
      <c r="B161" s="30">
        <f>UV_rise*Ruvlo_top/(Vuvlo_on-UV_rise)</f>
        <v>14651.162790697676</v>
      </c>
      <c r="C161" s="2" t="s">
        <v>36</v>
      </c>
      <c r="E161" s="32" t="s">
        <v>407</v>
      </c>
    </row>
    <row r="162" spans="1:5" s="32" customFormat="1" x14ac:dyDescent="0.3">
      <c r="A162" s="32" t="s">
        <v>309</v>
      </c>
      <c r="B162" s="29">
        <f>UV_rise*(Ruvlo_top+Ruvlo_bottom_calc)/Ruvlo_bottom_calc</f>
        <v>5.8</v>
      </c>
      <c r="E162" s="32" t="s">
        <v>311</v>
      </c>
    </row>
    <row r="163" spans="1:5" s="32" customFormat="1" x14ac:dyDescent="0.3">
      <c r="A163" s="32" t="s">
        <v>310</v>
      </c>
      <c r="B163" s="29">
        <f>Ruvlo_top*((UV_fall/Ruvlo_top)-(UV_I_hyst)+(UV_fall/Ruvlo_bottom_calc))</f>
        <v>5.3966666666666665</v>
      </c>
      <c r="E163" s="32" t="s">
        <v>312</v>
      </c>
    </row>
    <row r="164" spans="1:5" s="32" customFormat="1" x14ac:dyDescent="0.3"/>
    <row r="165" spans="1:5" s="32" customFormat="1" x14ac:dyDescent="0.3"/>
    <row r="166" spans="1:5" x14ac:dyDescent="0.3">
      <c r="A166" s="44" t="s">
        <v>577</v>
      </c>
    </row>
    <row r="167" spans="1:5" s="32" customFormat="1" x14ac:dyDescent="0.3">
      <c r="A167" s="49" t="s">
        <v>194</v>
      </c>
      <c r="B167" s="3" t="str">
        <f>'Design Converter'!H59</f>
        <v>18V</v>
      </c>
      <c r="C167" s="32" t="s">
        <v>10</v>
      </c>
      <c r="E167" s="32" t="s">
        <v>236</v>
      </c>
    </row>
    <row r="168" spans="1:5" s="32" customFormat="1" x14ac:dyDescent="0.3">
      <c r="A168" s="49"/>
      <c r="B168" s="27"/>
    </row>
    <row r="169" spans="1:5" x14ac:dyDescent="0.3">
      <c r="A169" s="48" t="s">
        <v>251</v>
      </c>
    </row>
    <row r="170" spans="1:5" s="32" customFormat="1" x14ac:dyDescent="0.3">
      <c r="A170" s="32" t="s">
        <v>186</v>
      </c>
      <c r="B170" s="3">
        <f>'Design Converter'!H62*(10^3)</f>
        <v>150000</v>
      </c>
      <c r="C170" s="2" t="s">
        <v>36</v>
      </c>
      <c r="E170" s="32" t="s">
        <v>237</v>
      </c>
    </row>
    <row r="171" spans="1:5" s="32" customFormat="1" x14ac:dyDescent="0.3">
      <c r="A171" s="32" t="s">
        <v>241</v>
      </c>
      <c r="B171" s="30">
        <f>(RFBT*Vref)/(VOUT-Vref)</f>
        <v>13636.363636363636</v>
      </c>
      <c r="C171" s="2" t="s">
        <v>36</v>
      </c>
      <c r="E171" s="32" t="s">
        <v>244</v>
      </c>
    </row>
    <row r="172" spans="1:5" x14ac:dyDescent="0.3">
      <c r="A172" t="s">
        <v>187</v>
      </c>
      <c r="B172" s="3">
        <f>'Design Converter'!H64*(10^3)</f>
        <v>14000</v>
      </c>
      <c r="C172" s="2" t="s">
        <v>36</v>
      </c>
      <c r="E172" t="s">
        <v>245</v>
      </c>
    </row>
    <row r="173" spans="1:5" x14ac:dyDescent="0.3">
      <c r="A173" t="s">
        <v>246</v>
      </c>
      <c r="B173" s="1">
        <f>VOUT/(RFBB+RFBT)</f>
        <v>7.317073170731707E-5</v>
      </c>
      <c r="C173" s="2" t="s">
        <v>11</v>
      </c>
      <c r="E173" t="s">
        <v>247</v>
      </c>
    </row>
    <row r="174" spans="1:5" s="32" customFormat="1" x14ac:dyDescent="0.3">
      <c r="B174" s="27"/>
      <c r="C174" s="2"/>
    </row>
    <row r="175" spans="1:5" s="32" customFormat="1" x14ac:dyDescent="0.3">
      <c r="A175" s="48" t="s">
        <v>252</v>
      </c>
      <c r="E175" s="32" t="s">
        <v>395</v>
      </c>
    </row>
    <row r="176" spans="1:5" s="32" customFormat="1" x14ac:dyDescent="0.3"/>
    <row r="177" spans="1:5" s="32" customFormat="1" x14ac:dyDescent="0.3">
      <c r="A177" s="35" t="s">
        <v>469</v>
      </c>
    </row>
    <row r="178" spans="1:5" s="32" customFormat="1" x14ac:dyDescent="0.3">
      <c r="A178" s="32" t="s">
        <v>409</v>
      </c>
      <c r="B178" s="32">
        <f>(Gcomp*(VOUT/IOUT)*(1-Dc_VIN_min))/(R_cs*Acs*(1+Dc_VIN_min))</f>
        <v>13.593749999999998</v>
      </c>
    </row>
    <row r="179" spans="1:5" s="32" customFormat="1" x14ac:dyDescent="0.3"/>
    <row r="180" spans="1:5" s="32" customFormat="1" x14ac:dyDescent="0.3">
      <c r="A180" s="32" t="s">
        <v>410</v>
      </c>
      <c r="B180" s="22">
        <f>(1+Dc_VIN_min)/(Cout*(VOUT/IOUT))</f>
        <v>2133.3333333333335</v>
      </c>
      <c r="C180" s="32" t="s">
        <v>392</v>
      </c>
      <c r="E180" s="32" t="s">
        <v>391</v>
      </c>
    </row>
    <row r="181" spans="1:5" s="32" customFormat="1" x14ac:dyDescent="0.3">
      <c r="A181" s="32" t="s">
        <v>411</v>
      </c>
      <c r="B181" s="1">
        <f>B180/(2*PI())</f>
        <v>339.53054526271006</v>
      </c>
      <c r="C181" s="32" t="s">
        <v>67</v>
      </c>
      <c r="E181" s="32" t="s">
        <v>248</v>
      </c>
    </row>
    <row r="182" spans="1:5" s="32" customFormat="1" x14ac:dyDescent="0.3">
      <c r="B182" s="27"/>
    </row>
    <row r="183" spans="1:5" s="32" customFormat="1" x14ac:dyDescent="0.3">
      <c r="A183" s="32" t="s">
        <v>412</v>
      </c>
      <c r="B183" s="22">
        <f>1/(Cout*Resr)</f>
        <v>1000000</v>
      </c>
      <c r="C183" s="32" t="s">
        <v>393</v>
      </c>
      <c r="E183" s="32" t="s">
        <v>394</v>
      </c>
    </row>
    <row r="184" spans="1:5" s="32" customFormat="1" x14ac:dyDescent="0.3">
      <c r="A184" s="32" t="s">
        <v>413</v>
      </c>
      <c r="B184" s="1">
        <f>B183/(2*PI())</f>
        <v>159154.94309189534</v>
      </c>
      <c r="C184" s="32" t="s">
        <v>67</v>
      </c>
      <c r="E184" s="32" t="s">
        <v>250</v>
      </c>
    </row>
    <row r="185" spans="1:5" s="32" customFormat="1" x14ac:dyDescent="0.3">
      <c r="B185" s="27"/>
    </row>
    <row r="186" spans="1:5" s="32" customFormat="1" x14ac:dyDescent="0.3">
      <c r="A186" s="32" t="s">
        <v>414</v>
      </c>
      <c r="B186" s="22">
        <f>((VOUT/IOUT)*((1-Dc_VIN_min)^2))/(Lm*Dc_VIN_min)</f>
        <v>121212.12121212126</v>
      </c>
      <c r="E186" s="32" t="s">
        <v>390</v>
      </c>
    </row>
    <row r="187" spans="1:5" s="32" customFormat="1" x14ac:dyDescent="0.3">
      <c r="A187" s="32" t="s">
        <v>415</v>
      </c>
      <c r="B187" s="30">
        <f>B186/(2*PI())</f>
        <v>19291.508253563079</v>
      </c>
      <c r="C187" s="32" t="s">
        <v>67</v>
      </c>
      <c r="E187" s="32" t="s">
        <v>249</v>
      </c>
    </row>
    <row r="188" spans="1:5" s="32" customFormat="1" x14ac:dyDescent="0.3">
      <c r="B188" s="27">
        <f>Fsw/10</f>
        <v>100000</v>
      </c>
      <c r="C188" s="32" t="s">
        <v>67</v>
      </c>
      <c r="E188" s="32" t="s">
        <v>256</v>
      </c>
    </row>
    <row r="189" spans="1:5" s="32" customFormat="1" x14ac:dyDescent="0.3">
      <c r="B189" s="32">
        <f>IF((B187/5)&lt;(B188),0,1)</f>
        <v>0</v>
      </c>
      <c r="E189" s="32" t="s">
        <v>578</v>
      </c>
    </row>
    <row r="190" spans="1:5" s="32" customFormat="1" x14ac:dyDescent="0.3"/>
    <row r="191" spans="1:5" s="32" customFormat="1" x14ac:dyDescent="0.3">
      <c r="A191" s="32" t="s">
        <v>416</v>
      </c>
      <c r="B191" s="1">
        <f>(Isl*(Rsl_int+R_sl)*Fsw)</f>
        <v>39990</v>
      </c>
      <c r="C191" s="32" t="s">
        <v>147</v>
      </c>
      <c r="E191" s="32" t="s">
        <v>210</v>
      </c>
    </row>
    <row r="192" spans="1:5" s="32" customFormat="1" x14ac:dyDescent="0.3">
      <c r="A192" s="32" t="s">
        <v>417</v>
      </c>
      <c r="B192" s="1">
        <f>(R_cs*VIN_min*Acs)/Lm</f>
        <v>9696.9696969696979</v>
      </c>
      <c r="C192" s="32" t="s">
        <v>147</v>
      </c>
      <c r="E192" s="32" t="s">
        <v>211</v>
      </c>
    </row>
    <row r="193" spans="1:5" s="32" customFormat="1" x14ac:dyDescent="0.3">
      <c r="B193" s="1"/>
    </row>
    <row r="194" spans="1:5" s="32" customFormat="1" x14ac:dyDescent="0.3">
      <c r="A194" s="32" t="s">
        <v>418</v>
      </c>
      <c r="B194" s="1">
        <f>2*PI()*Fsw</f>
        <v>6283185.307179586</v>
      </c>
      <c r="C194" s="32" t="s">
        <v>213</v>
      </c>
    </row>
    <row r="195" spans="1:5" s="32" customFormat="1" x14ac:dyDescent="0.3">
      <c r="A195" s="32" t="s">
        <v>419</v>
      </c>
      <c r="B195" s="1">
        <f>1/(PI()*(((1-Dc_VIN_min)*(1+(B191/B192)))-0.5))</f>
        <v>0.20541588402319372</v>
      </c>
    </row>
    <row r="196" spans="1:5" s="32" customFormat="1" x14ac:dyDescent="0.3">
      <c r="E196" s="32">
        <f>fcross</f>
        <v>3500</v>
      </c>
    </row>
    <row r="197" spans="1:5" s="32" customFormat="1" x14ac:dyDescent="0.3">
      <c r="B197" s="27"/>
    </row>
    <row r="198" spans="1:5" s="32" customFormat="1" x14ac:dyDescent="0.3">
      <c r="A198" s="32" t="s">
        <v>489</v>
      </c>
      <c r="B198" s="29">
        <f>IF(B189=0,fz_rhp/6,Fsw/10)</f>
        <v>3215.2513755938467</v>
      </c>
      <c r="C198" s="32" t="s">
        <v>67</v>
      </c>
      <c r="E198" s="32" t="s">
        <v>585</v>
      </c>
    </row>
    <row r="199" spans="1:5" s="32" customFormat="1" x14ac:dyDescent="0.3"/>
    <row r="200" spans="1:5" s="32" customFormat="1" x14ac:dyDescent="0.3"/>
    <row r="201" spans="1:5" s="32" customFormat="1" x14ac:dyDescent="0.3">
      <c r="A201" s="32" t="s">
        <v>261</v>
      </c>
      <c r="B201" s="72">
        <f>SQRT(B181*fcross)</f>
        <v>1090.1178415288346</v>
      </c>
      <c r="C201" s="32" t="s">
        <v>67</v>
      </c>
      <c r="E201" s="32" t="s">
        <v>513</v>
      </c>
    </row>
    <row r="202" spans="1:5" s="32" customFormat="1" x14ac:dyDescent="0.3">
      <c r="A202" s="32" t="s">
        <v>263</v>
      </c>
      <c r="B202" s="46">
        <f>fz_rhp</f>
        <v>19291.508253563079</v>
      </c>
      <c r="C202" s="32" t="s">
        <v>67</v>
      </c>
      <c r="E202" s="32" t="s">
        <v>429</v>
      </c>
    </row>
    <row r="203" spans="1:5" s="32" customFormat="1" x14ac:dyDescent="0.3">
      <c r="A203" s="32" t="s">
        <v>254</v>
      </c>
      <c r="B203" s="3">
        <f>fcross</f>
        <v>3500</v>
      </c>
      <c r="C203" s="32" t="s">
        <v>67</v>
      </c>
      <c r="E203" s="32" t="s">
        <v>430</v>
      </c>
    </row>
    <row r="204" spans="1:5" s="32" customFormat="1" x14ac:dyDescent="0.3"/>
    <row r="205" spans="1:5" s="32" customFormat="1" x14ac:dyDescent="0.3"/>
    <row r="206" spans="1:5" s="32" customFormat="1" x14ac:dyDescent="0.3">
      <c r="A206" s="32" t="s">
        <v>493</v>
      </c>
      <c r="B206" s="29">
        <f>(2*PI()*Acs*Cout*R_cs*VOUT*fcross)/(Gcomp*Vref*gm_ea*(1-Dc_VIN_min))</f>
        <v>4549.892808647287</v>
      </c>
      <c r="C206" s="2" t="s">
        <v>36</v>
      </c>
      <c r="E206" s="32" t="s">
        <v>260</v>
      </c>
    </row>
    <row r="207" spans="1:5" s="32" customFormat="1" x14ac:dyDescent="0.3">
      <c r="A207" s="32" t="s">
        <v>494</v>
      </c>
      <c r="B207" s="23">
        <f>1/(2*PI()*fz_ea_est*Rcomp_calc_CCM)</f>
        <v>3.2088212040353712E-8</v>
      </c>
      <c r="C207" s="2" t="s">
        <v>158</v>
      </c>
      <c r="E207" s="32" t="s">
        <v>487</v>
      </c>
    </row>
    <row r="208" spans="1:5" s="32" customFormat="1" x14ac:dyDescent="0.3">
      <c r="A208" s="32" t="s">
        <v>495</v>
      </c>
      <c r="B208" s="234">
        <f>(IOUT*Lm)/(Rcomp_calc_CCM*((1-Dc_VIN_min)^2)*(VIN_min+VOUT))</f>
        <v>1.8132295302255212E-9</v>
      </c>
      <c r="C208" s="32" t="s">
        <v>158</v>
      </c>
      <c r="E208" s="32" t="s">
        <v>488</v>
      </c>
    </row>
    <row r="211" spans="1:5" x14ac:dyDescent="0.3">
      <c r="A211" s="35" t="s">
        <v>470</v>
      </c>
      <c r="E211" s="48" t="s">
        <v>580</v>
      </c>
    </row>
    <row r="212" spans="1:5" s="32" customFormat="1" x14ac:dyDescent="0.3"/>
    <row r="213" spans="1:5" s="32" customFormat="1" x14ac:dyDescent="0.3">
      <c r="A213" s="32" t="s">
        <v>476</v>
      </c>
      <c r="B213" s="32">
        <f>Fsw/((R_cs*Acs*(VIN_min/Lm))+((R_sl+Rsl_int)*Isl))</f>
        <v>103.12457471747651</v>
      </c>
      <c r="C213" s="32" t="s">
        <v>147</v>
      </c>
      <c r="E213" s="32" t="s">
        <v>500</v>
      </c>
    </row>
    <row r="214" spans="1:5" s="32" customFormat="1" x14ac:dyDescent="0.3">
      <c r="A214" s="32" t="s">
        <v>475</v>
      </c>
      <c r="B214" s="32">
        <f>(B213*2*VOUT/Dc_VIN_min)*(((VOUT/VIN_min)-1)/((2*VOUT/VIN_min)-1))</f>
        <v>1031.2457471747653</v>
      </c>
      <c r="C214" s="32" t="s">
        <v>147</v>
      </c>
    </row>
    <row r="215" spans="1:5" s="32" customFormat="1" x14ac:dyDescent="0.3">
      <c r="A215" s="32" t="s">
        <v>477</v>
      </c>
      <c r="B215" s="32">
        <f>(IOUT*((2*VOUT)-VIN_min))/(Cout*VOUT*(VOUT-VIN_min))</f>
        <v>5333.333333333333</v>
      </c>
      <c r="C215" s="32" t="s">
        <v>392</v>
      </c>
    </row>
    <row r="216" spans="1:5" s="32" customFormat="1" x14ac:dyDescent="0.3">
      <c r="B216" s="32">
        <f>B215/(2*PI())</f>
        <v>848.82636315677507</v>
      </c>
      <c r="C216" s="32" t="s">
        <v>67</v>
      </c>
    </row>
    <row r="217" spans="1:5" s="32" customFormat="1" x14ac:dyDescent="0.3">
      <c r="A217" s="32" t="s">
        <v>478</v>
      </c>
      <c r="B217" s="32">
        <f>1/(Cout*Resr)</f>
        <v>1000000</v>
      </c>
      <c r="C217" s="32" t="s">
        <v>392</v>
      </c>
    </row>
    <row r="218" spans="1:5" s="32" customFormat="1" x14ac:dyDescent="0.3">
      <c r="B218" s="32">
        <f>B217/(2*PI())</f>
        <v>159154.94309189534</v>
      </c>
      <c r="C218" s="32" t="s">
        <v>67</v>
      </c>
    </row>
    <row r="219" spans="1:5" s="32" customFormat="1" x14ac:dyDescent="0.3">
      <c r="A219" s="32" t="s">
        <v>479</v>
      </c>
      <c r="B219" s="32">
        <f>2*Fsw/(Dc_VIN_min)</f>
        <v>3333333.3333333335</v>
      </c>
      <c r="C219" s="32" t="s">
        <v>392</v>
      </c>
      <c r="E219" s="32" t="s">
        <v>499</v>
      </c>
    </row>
    <row r="220" spans="1:5" s="32" customFormat="1" x14ac:dyDescent="0.3">
      <c r="B220" s="32">
        <f>B219/(2*PI())</f>
        <v>530516.4769729845</v>
      </c>
      <c r="C220" s="32" t="s">
        <v>67</v>
      </c>
    </row>
    <row r="221" spans="1:5" s="32" customFormat="1" x14ac:dyDescent="0.3"/>
    <row r="222" spans="1:5" s="32" customFormat="1" x14ac:dyDescent="0.3">
      <c r="A222" s="32" t="s">
        <v>480</v>
      </c>
      <c r="B222" s="32">
        <f>2*Fsw/(2*PI()*Dc_VIN_min*5)</f>
        <v>106103.29539459689</v>
      </c>
      <c r="C222" s="32" t="s">
        <v>67</v>
      </c>
      <c r="E222" s="32" t="s">
        <v>482</v>
      </c>
    </row>
    <row r="223" spans="1:5" s="32" customFormat="1" x14ac:dyDescent="0.3">
      <c r="B223" s="32">
        <f>20*LOG(Gcomp*B214*(B215/(2*PI())))</f>
        <v>102.07098064715851</v>
      </c>
      <c r="E223" s="32" t="s">
        <v>481</v>
      </c>
    </row>
    <row r="224" spans="1:5" s="32" customFormat="1" x14ac:dyDescent="0.3">
      <c r="A224" s="32" t="s">
        <v>254</v>
      </c>
      <c r="B224" s="3">
        <f>fcross</f>
        <v>3500</v>
      </c>
      <c r="C224" s="32" t="s">
        <v>67</v>
      </c>
      <c r="E224" s="32" t="s">
        <v>486</v>
      </c>
    </row>
    <row r="225" spans="1:5" s="32" customFormat="1" x14ac:dyDescent="0.3">
      <c r="B225" s="27"/>
    </row>
    <row r="226" spans="1:5" s="32" customFormat="1" x14ac:dyDescent="0.3">
      <c r="B226" s="27"/>
    </row>
    <row r="227" spans="1:5" s="32" customFormat="1" x14ac:dyDescent="0.3">
      <c r="A227" s="32" t="s">
        <v>485</v>
      </c>
      <c r="B227" s="32">
        <f>(2*PI()*VOUT*fcross)/(Gcomp*Vref*gm_ea*B215*B214)</f>
        <v>165.45132990047435</v>
      </c>
      <c r="C227" s="32" t="s">
        <v>490</v>
      </c>
      <c r="E227" s="32" t="s">
        <v>260</v>
      </c>
    </row>
    <row r="228" spans="1:5" s="32" customFormat="1" x14ac:dyDescent="0.3">
      <c r="A228" s="32" t="s">
        <v>491</v>
      </c>
      <c r="B228" s="32">
        <f>1/(2*PI()*SQRT(fcross*(B215/(2*PI())))*B227)</f>
        <v>5.5809279693750699E-7</v>
      </c>
      <c r="C228" s="32" t="s">
        <v>158</v>
      </c>
      <c r="E228" s="32" t="s">
        <v>487</v>
      </c>
    </row>
    <row r="229" spans="1:5" s="32" customFormat="1" x14ac:dyDescent="0.3">
      <c r="A229" s="32" t="s">
        <v>492</v>
      </c>
      <c r="B229" s="32">
        <f>B228/((2*PI()*B228*B227*(B219/(2*PI())))-1)</f>
        <v>1.8191323436388289E-9</v>
      </c>
      <c r="C229" s="32" t="s">
        <v>158</v>
      </c>
      <c r="E229" s="32" t="s">
        <v>488</v>
      </c>
    </row>
    <row r="230" spans="1:5" s="32" customFormat="1" ht="16.5" customHeight="1" x14ac:dyDescent="0.3"/>
    <row r="231" spans="1:5" s="32" customFormat="1" ht="16.5" customHeight="1" x14ac:dyDescent="0.3">
      <c r="A231" s="216" t="s">
        <v>483</v>
      </c>
    </row>
    <row r="232" spans="1:5" s="32" customFormat="1" x14ac:dyDescent="0.3">
      <c r="B232" s="32">
        <f>IF(B52=0,B222,B198)</f>
        <v>3215.2513755938467</v>
      </c>
      <c r="C232" s="32" t="s">
        <v>67</v>
      </c>
      <c r="E232" s="32" t="s">
        <v>484</v>
      </c>
    </row>
    <row r="233" spans="1:5" s="32" customFormat="1" x14ac:dyDescent="0.3">
      <c r="A233" s="32" t="s">
        <v>254</v>
      </c>
      <c r="B233" s="3">
        <f>'Design Converter'!H68*1000</f>
        <v>3500</v>
      </c>
      <c r="C233" s="32" t="s">
        <v>67</v>
      </c>
      <c r="E233" s="32" t="s">
        <v>255</v>
      </c>
    </row>
    <row r="234" spans="1:5" s="32" customFormat="1" x14ac:dyDescent="0.3"/>
    <row r="235" spans="1:5" s="32" customFormat="1" x14ac:dyDescent="0.3">
      <c r="A235" s="32" t="s">
        <v>259</v>
      </c>
      <c r="B235" s="32">
        <f>IF(B52=0,RCOMP_CALC_DCM,Rcomp_calc_CCM)</f>
        <v>4549.892808647287</v>
      </c>
    </row>
    <row r="236" spans="1:5" s="32" customFormat="1" x14ac:dyDescent="0.3">
      <c r="A236" t="s">
        <v>176</v>
      </c>
      <c r="B236" s="3">
        <f>'Design Converter'!H71*1000</f>
        <v>4270</v>
      </c>
      <c r="C236" s="2" t="s">
        <v>36</v>
      </c>
      <c r="D236"/>
      <c r="E236" t="s">
        <v>183</v>
      </c>
    </row>
    <row r="237" spans="1:5" s="32" customFormat="1" x14ac:dyDescent="0.3">
      <c r="A237" s="32" t="s">
        <v>262</v>
      </c>
      <c r="B237" s="32">
        <f>IF(B52=0,CCOMP_CALC_DCM,CCOMP_calc_CCM)</f>
        <v>3.2088212040353712E-8</v>
      </c>
    </row>
    <row r="238" spans="1:5" s="32" customFormat="1" x14ac:dyDescent="0.3">
      <c r="A238" t="s">
        <v>181</v>
      </c>
      <c r="B238" s="3">
        <f>'Design Converter'!H72*(10^-9)</f>
        <v>3.6000000000000005E-8</v>
      </c>
      <c r="C238" t="s">
        <v>158</v>
      </c>
      <c r="D238"/>
      <c r="E238" t="s">
        <v>184</v>
      </c>
    </row>
    <row r="239" spans="1:5" s="32" customFormat="1" x14ac:dyDescent="0.3">
      <c r="A239" s="32" t="s">
        <v>496</v>
      </c>
      <c r="B239" s="32">
        <f>IF(B52=0,CHF_CALC_DCM,CHF_CALC_CCM)</f>
        <v>1.8132295302255212E-9</v>
      </c>
    </row>
    <row r="240" spans="1:5" s="32" customFormat="1" x14ac:dyDescent="0.3">
      <c r="A240" t="s">
        <v>182</v>
      </c>
      <c r="B240" s="3">
        <f>'Design Converter'!H73*(10^-12)</f>
        <v>2.0000000000000001E-9</v>
      </c>
      <c r="C240" t="s">
        <v>158</v>
      </c>
      <c r="D240"/>
      <c r="E240" t="s">
        <v>185</v>
      </c>
    </row>
    <row r="241" spans="1:5" s="32" customFormat="1" x14ac:dyDescent="0.3"/>
    <row r="242" spans="1:5" x14ac:dyDescent="0.3">
      <c r="A242" s="44" t="s">
        <v>320</v>
      </c>
    </row>
    <row r="243" spans="1:5" s="32" customFormat="1" x14ac:dyDescent="0.3">
      <c r="A243" s="44" t="s">
        <v>339</v>
      </c>
    </row>
    <row r="244" spans="1:5" s="32" customFormat="1" x14ac:dyDescent="0.3">
      <c r="A244" s="114" t="s">
        <v>399</v>
      </c>
      <c r="E244" s="32" t="s">
        <v>400</v>
      </c>
    </row>
    <row r="245" spans="1:5" x14ac:dyDescent="0.3">
      <c r="A245" t="s">
        <v>321</v>
      </c>
      <c r="B245">
        <f>'Design Converter'!H88/1000</f>
        <v>6.5000000000000002E-2</v>
      </c>
      <c r="C245" t="s">
        <v>10</v>
      </c>
      <c r="E245" t="s">
        <v>322</v>
      </c>
    </row>
    <row r="246" spans="1:5" x14ac:dyDescent="0.3">
      <c r="A246" t="s">
        <v>352</v>
      </c>
      <c r="B246">
        <f>'Design Converter'!H89*(10^-9)</f>
        <v>1.6E-7</v>
      </c>
      <c r="C246" t="s">
        <v>350</v>
      </c>
      <c r="E246" t="s">
        <v>351</v>
      </c>
    </row>
    <row r="248" spans="1:5" s="32" customFormat="1" x14ac:dyDescent="0.3"/>
    <row r="249" spans="1:5" x14ac:dyDescent="0.3">
      <c r="A249" s="44" t="s">
        <v>342</v>
      </c>
    </row>
    <row r="250" spans="1:5" ht="15.6" x14ac:dyDescent="0.35">
      <c r="A250" t="s">
        <v>353</v>
      </c>
      <c r="B250" s="3">
        <f>'Design Converter'!H78*(10^-3)</f>
        <v>4.4000000000000003E-3</v>
      </c>
      <c r="C250" s="2" t="s">
        <v>36</v>
      </c>
      <c r="E250" s="102" t="s">
        <v>328</v>
      </c>
    </row>
    <row r="251" spans="1:5" ht="15.6" x14ac:dyDescent="0.35">
      <c r="A251" t="s">
        <v>343</v>
      </c>
      <c r="B251" s="3">
        <f>'Design Converter'!H79*(10^-9)</f>
        <v>4.3000000000000001E-8</v>
      </c>
      <c r="C251" t="s">
        <v>158</v>
      </c>
      <c r="E251" s="102" t="s">
        <v>329</v>
      </c>
    </row>
    <row r="252" spans="1:5" ht="15.6" x14ac:dyDescent="0.35">
      <c r="A252" t="s">
        <v>345</v>
      </c>
      <c r="B252" s="3">
        <f>'Design Converter'!H80*(10^-9)</f>
        <v>1.8200000000000001E-8</v>
      </c>
      <c r="C252" t="s">
        <v>158</v>
      </c>
      <c r="E252" s="102" t="s">
        <v>330</v>
      </c>
    </row>
    <row r="253" spans="1:5" ht="15.6" x14ac:dyDescent="0.35">
      <c r="A253" t="s">
        <v>344</v>
      </c>
      <c r="B253" s="3">
        <f>'Design Converter'!H81*(10^-9)</f>
        <v>1.2000000000000002E-8</v>
      </c>
      <c r="C253" t="s">
        <v>158</v>
      </c>
      <c r="E253" s="102" t="s">
        <v>331</v>
      </c>
    </row>
    <row r="254" spans="1:5" ht="15.6" x14ac:dyDescent="0.35">
      <c r="A254" t="s">
        <v>346</v>
      </c>
      <c r="B254" s="3">
        <f>'Design Converter'!H82</f>
        <v>2.2400000000000002</v>
      </c>
      <c r="C254" s="2" t="s">
        <v>36</v>
      </c>
      <c r="E254" s="102" t="s">
        <v>332</v>
      </c>
    </row>
    <row r="255" spans="1:5" s="32" customFormat="1" x14ac:dyDescent="0.3">
      <c r="A255" s="32" t="s">
        <v>354</v>
      </c>
      <c r="B255" s="22">
        <v>1.5</v>
      </c>
      <c r="C255" s="2"/>
      <c r="E255" s="102" t="s">
        <v>355</v>
      </c>
    </row>
    <row r="256" spans="1:5" ht="15.6" x14ac:dyDescent="0.35">
      <c r="A256" t="s">
        <v>347</v>
      </c>
      <c r="B256" s="3">
        <f>'Design Converter'!H83</f>
        <v>50</v>
      </c>
      <c r="C256" s="2" t="s">
        <v>338</v>
      </c>
      <c r="E256" s="102" t="s">
        <v>333</v>
      </c>
    </row>
    <row r="257" spans="1:8" ht="15.6" x14ac:dyDescent="0.35">
      <c r="A257" t="s">
        <v>348</v>
      </c>
      <c r="B257" s="3">
        <f>'Design Converter'!H84</f>
        <v>1.8</v>
      </c>
      <c r="C257" s="2" t="s">
        <v>10</v>
      </c>
      <c r="E257" s="102" t="s">
        <v>334</v>
      </c>
    </row>
    <row r="258" spans="1:8" s="32" customFormat="1" x14ac:dyDescent="0.3">
      <c r="A258" s="32" t="s">
        <v>360</v>
      </c>
      <c r="B258" s="22">
        <f>Vcc</f>
        <v>6.75</v>
      </c>
      <c r="C258" s="2" t="s">
        <v>10</v>
      </c>
      <c r="E258" s="102" t="s">
        <v>364</v>
      </c>
    </row>
    <row r="259" spans="1:8" s="32" customFormat="1" x14ac:dyDescent="0.3">
      <c r="B259" s="27"/>
      <c r="C259" s="2"/>
      <c r="E259" s="102"/>
    </row>
    <row r="260" spans="1:8" s="32" customFormat="1" x14ac:dyDescent="0.3">
      <c r="B260" s="27"/>
      <c r="C260" s="2"/>
      <c r="E260" s="102"/>
    </row>
    <row r="261" spans="1:8" x14ac:dyDescent="0.3">
      <c r="A261" t="s">
        <v>356</v>
      </c>
      <c r="B261" s="41">
        <f>Vth+((IOUT+(VOUT*IOUT/VIN_min))/gfs)</f>
        <v>2.2000000000000002</v>
      </c>
      <c r="C261" s="2" t="s">
        <v>10</v>
      </c>
      <c r="E261" s="102" t="s">
        <v>357</v>
      </c>
    </row>
    <row r="262" spans="1:8" x14ac:dyDescent="0.3">
      <c r="A262" t="s">
        <v>365</v>
      </c>
      <c r="B262" s="1">
        <f>(Qgd+(Qgs/2))*((Rgate+B255)/(Vcc-B261))</f>
        <v>1.9891868131868135E-8</v>
      </c>
      <c r="C262" s="2" t="s">
        <v>52</v>
      </c>
      <c r="E262" s="102" t="s">
        <v>358</v>
      </c>
    </row>
    <row r="263" spans="1:8" ht="15" thickBot="1" x14ac:dyDescent="0.35">
      <c r="A263" t="s">
        <v>366</v>
      </c>
      <c r="B263" s="38">
        <f>(Qgd+(Qgs/2))*((B255+Rgate)/B261)</f>
        <v>4.1140000000000003E-8</v>
      </c>
      <c r="C263" t="s">
        <v>52</v>
      </c>
      <c r="E263" s="103" t="s">
        <v>359</v>
      </c>
      <c r="H263" t="s">
        <v>581</v>
      </c>
    </row>
  </sheetData>
  <mergeCells count="2">
    <mergeCell ref="A1:J1"/>
    <mergeCell ref="E5:H5"/>
  </mergeCells>
  <pageMargins left="0.7" right="0.7" top="0.75" bottom="0.75" header="0.3" footer="0.3"/>
  <pageSetup orientation="portrait" r:id="rId1"/>
  <ignoredErrors>
    <ignoredError sqref="B217 B219" 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T207"/>
  <sheetViews>
    <sheetView topLeftCell="I1" zoomScale="85" zoomScaleNormal="85" workbookViewId="0">
      <pane ySplit="6" topLeftCell="A100" activePane="bottomLeft" state="frozen"/>
      <selection activeCell="R1" sqref="R1"/>
      <selection pane="bottomLeft" activeCell="AU42" sqref="AU42"/>
    </sheetView>
  </sheetViews>
  <sheetFormatPr defaultRowHeight="14.4" x14ac:dyDescent="0.3"/>
  <cols>
    <col min="10" max="10" width="10" bestFit="1" customWidth="1"/>
    <col min="18" max="18" width="8.88671875" style="32"/>
    <col min="21" max="21" width="8.88671875" style="32"/>
    <col min="24" max="24" width="8.88671875" style="32"/>
    <col min="25" max="25" width="12" bestFit="1" customWidth="1"/>
    <col min="28" max="28" width="8.88671875" style="32"/>
    <col min="30" max="30" width="8.88671875" style="32"/>
    <col min="35" max="35" width="8.88671875" style="32"/>
    <col min="39" max="39" width="11" bestFit="1" customWidth="1"/>
    <col min="42" max="43" width="8.88671875" style="32"/>
  </cols>
  <sheetData>
    <row r="1" spans="1:46" ht="28.2" x14ac:dyDescent="0.5">
      <c r="A1" s="235" t="s">
        <v>15</v>
      </c>
      <c r="B1" s="235"/>
      <c r="C1" s="235"/>
      <c r="D1" s="235"/>
      <c r="E1" s="235"/>
      <c r="F1" s="235"/>
      <c r="G1" s="235"/>
      <c r="H1" s="235"/>
      <c r="I1" s="235"/>
      <c r="J1" s="235"/>
      <c r="K1" s="235"/>
      <c r="L1" s="235"/>
      <c r="M1" s="235"/>
    </row>
    <row r="2" spans="1:46" x14ac:dyDescent="0.3">
      <c r="Y2" s="243" t="s">
        <v>586</v>
      </c>
      <c r="Z2" s="243"/>
      <c r="AA2" s="243"/>
      <c r="AB2" s="243"/>
      <c r="AC2" s="243"/>
      <c r="AD2" s="243"/>
    </row>
    <row r="4" spans="1:46" ht="15" thickBot="1" x14ac:dyDescent="0.35">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row>
    <row r="5" spans="1:46" ht="28.8" x14ac:dyDescent="0.3">
      <c r="Q5" s="32"/>
      <c r="R5" s="240" t="s">
        <v>313</v>
      </c>
      <c r="S5" s="241"/>
      <c r="T5" s="241"/>
      <c r="U5" s="242"/>
      <c r="V5" s="240" t="s">
        <v>314</v>
      </c>
      <c r="W5" s="241"/>
      <c r="X5" s="242"/>
      <c r="Y5" s="240" t="s">
        <v>587</v>
      </c>
      <c r="Z5" s="241"/>
      <c r="AA5" s="241"/>
      <c r="AB5" s="241"/>
      <c r="AC5" s="241"/>
      <c r="AD5" s="242"/>
      <c r="AE5" s="240" t="s">
        <v>385</v>
      </c>
      <c r="AF5" s="241"/>
      <c r="AG5" s="241"/>
      <c r="AH5" s="241"/>
      <c r="AI5" s="242"/>
      <c r="AJ5" s="240" t="s">
        <v>386</v>
      </c>
      <c r="AK5" s="241"/>
      <c r="AL5" s="241"/>
      <c r="AM5" s="241"/>
      <c r="AN5" s="242"/>
      <c r="AO5" s="237" t="s">
        <v>382</v>
      </c>
      <c r="AP5" s="238"/>
      <c r="AQ5" s="239"/>
      <c r="AR5" s="111" t="s">
        <v>375</v>
      </c>
      <c r="AS5" s="112"/>
      <c r="AT5" s="113"/>
    </row>
    <row r="6" spans="1:46" ht="15.6" x14ac:dyDescent="0.35">
      <c r="R6" s="97" t="s">
        <v>31</v>
      </c>
      <c r="S6" s="96" t="s">
        <v>33</v>
      </c>
      <c r="T6" s="96" t="s">
        <v>272</v>
      </c>
      <c r="U6" s="98" t="s">
        <v>275</v>
      </c>
      <c r="V6" s="97" t="s">
        <v>273</v>
      </c>
      <c r="W6" s="96" t="s">
        <v>274</v>
      </c>
      <c r="X6" s="98" t="s">
        <v>318</v>
      </c>
      <c r="Y6" s="108" t="s">
        <v>315</v>
      </c>
      <c r="Z6" s="105" t="s">
        <v>317</v>
      </c>
      <c r="AA6" s="105" t="s">
        <v>316</v>
      </c>
      <c r="AB6" s="106" t="s">
        <v>324</v>
      </c>
      <c r="AC6" s="106" t="s">
        <v>325</v>
      </c>
      <c r="AD6" s="109" t="s">
        <v>373</v>
      </c>
      <c r="AE6" s="108" t="s">
        <v>367</v>
      </c>
      <c r="AF6" s="105" t="s">
        <v>368</v>
      </c>
      <c r="AG6" s="106" t="s">
        <v>370</v>
      </c>
      <c r="AH6" s="106" t="s">
        <v>369</v>
      </c>
      <c r="AI6" s="109" t="s">
        <v>371</v>
      </c>
      <c r="AJ6" s="108" t="s">
        <v>323</v>
      </c>
      <c r="AK6" s="105" t="s">
        <v>319</v>
      </c>
      <c r="AL6" s="105" t="s">
        <v>326</v>
      </c>
      <c r="AM6" s="105" t="s">
        <v>327</v>
      </c>
      <c r="AN6" s="110" t="s">
        <v>372</v>
      </c>
      <c r="AO6" s="108" t="s">
        <v>374</v>
      </c>
      <c r="AP6" s="105" t="s">
        <v>377</v>
      </c>
      <c r="AQ6" s="110" t="s">
        <v>378</v>
      </c>
      <c r="AR6" s="108" t="s">
        <v>376</v>
      </c>
      <c r="AS6" s="105" t="s">
        <v>384</v>
      </c>
      <c r="AT6" s="110" t="s">
        <v>383</v>
      </c>
    </row>
    <row r="7" spans="1:46" x14ac:dyDescent="0.3">
      <c r="Q7">
        <v>0</v>
      </c>
      <c r="R7" s="97">
        <f t="shared" ref="R7:R70" si="0">VOUT</f>
        <v>12</v>
      </c>
      <c r="S7" s="96">
        <f t="shared" ref="S7:S38" si="1">Q7*$O$12</f>
        <v>0</v>
      </c>
      <c r="T7" s="96">
        <f t="shared" ref="T7:T70" si="2">VIN_var</f>
        <v>18</v>
      </c>
      <c r="U7" s="98">
        <f t="shared" ref="U7:U38" si="3">(R7*S7)/(T7*EFF_est)</f>
        <v>0</v>
      </c>
      <c r="V7" s="97">
        <f t="shared" ref="V7:V38" si="4">IF(S7&lt;((T7^2)*R7)/(2*Fsw*Lm*((T7+R7)^2)),1,2)</f>
        <v>1</v>
      </c>
      <c r="W7" s="96">
        <f t="shared" ref="W7:W38" si="5">CHOOSE(V7,SQRT(2*Lm*R7*S7*Fsw)/T7,R7/(T7+R7))</f>
        <v>0</v>
      </c>
      <c r="X7" s="98">
        <f t="shared" ref="X7:X38" si="6">CHOOSE(V7,(Lm*Z7*Fsw)/(R7),1-W7)</f>
        <v>0</v>
      </c>
      <c r="Y7" s="97">
        <f t="shared" ref="Y7" si="7">(T7*W7)/(Lm*Fsw)</f>
        <v>0</v>
      </c>
      <c r="Z7" s="96">
        <f t="shared" ref="Z7:Z18" si="8">U7+S7+(Y7)</f>
        <v>0</v>
      </c>
      <c r="AA7" s="96">
        <f>CHOOSE(V7,Z7*SQRT((W7+X7)/3),SQRT((U7^2)+((Y7^2)/12)))</f>
        <v>0</v>
      </c>
      <c r="AB7" s="96">
        <v>0</v>
      </c>
      <c r="AC7" s="96">
        <f t="shared" ref="AC7" si="9">(AA7^2)*Rdcr</f>
        <v>0</v>
      </c>
      <c r="AD7" s="98">
        <f>AB7+AC7</f>
        <v>0</v>
      </c>
      <c r="AE7" s="97">
        <f>U7*S7*W7</f>
        <v>0</v>
      </c>
      <c r="AF7" s="96">
        <f>AA7</f>
        <v>0</v>
      </c>
      <c r="AG7" s="96">
        <f t="shared" ref="AG7:AG38" si="10">(AF7^2)*RDS_on</f>
        <v>0</v>
      </c>
      <c r="AH7" s="96">
        <f t="shared" ref="AH7:AH38" si="11">(((R7+T7)*(U7+S7))/2)*Fsw*(tr_sw+tf_sw)</f>
        <v>0</v>
      </c>
      <c r="AI7" s="98">
        <f>AG7+AH7</f>
        <v>0</v>
      </c>
      <c r="AJ7" s="97">
        <f>S7</f>
        <v>0</v>
      </c>
      <c r="AK7" s="96">
        <f t="shared" ref="AK7" si="12">CHOOSE(V7,Z7*SQRT(X7/3),SQRT(X7*((Z7^2)+((Y7^2)/3)-(Y7*Z7))))</f>
        <v>0</v>
      </c>
      <c r="AL7" s="96">
        <f t="shared" ref="AL7" si="13">S7*Vd_rect</f>
        <v>0</v>
      </c>
      <c r="AM7" s="96">
        <f t="shared" ref="AM7:AM38" si="14">(R7+T7+Vd_rect)*Qrr*Fsw</f>
        <v>4.8104000000000005</v>
      </c>
      <c r="AN7" s="98">
        <f>AL7+AM7</f>
        <v>4.8104000000000005</v>
      </c>
      <c r="AO7" s="97">
        <f t="shared" ref="AO7:AO38" si="15">(AF7^2)*R_cs</f>
        <v>0</v>
      </c>
      <c r="AP7" s="96">
        <f t="shared" ref="AP7:AP70" si="16">Qg_tot*Vcc*Fsw</f>
        <v>0.29025000000000001</v>
      </c>
      <c r="AQ7" s="98">
        <f t="shared" ref="AQ7" si="17">IQ*T7</f>
        <v>8.0999999999999996E-3</v>
      </c>
      <c r="AR7" s="97">
        <f>AO7+AN7+AI7+AP7+AQ7</f>
        <v>5.1087500000000006</v>
      </c>
      <c r="AS7" s="96">
        <f>R7*S7</f>
        <v>0</v>
      </c>
      <c r="AT7" s="98">
        <f>(AS7/(AS7+AR7))*100</f>
        <v>0</v>
      </c>
    </row>
    <row r="8" spans="1:46" x14ac:dyDescent="0.3">
      <c r="M8">
        <f>Fsw</f>
        <v>1000000</v>
      </c>
      <c r="Q8">
        <v>1</v>
      </c>
      <c r="R8" s="97">
        <f t="shared" si="0"/>
        <v>12</v>
      </c>
      <c r="S8" s="96">
        <f t="shared" si="1"/>
        <v>5.3333333333333337E-2</v>
      </c>
      <c r="T8" s="96">
        <f t="shared" si="2"/>
        <v>18</v>
      </c>
      <c r="U8" s="98">
        <f t="shared" si="3"/>
        <v>3.5555555555555556E-2</v>
      </c>
      <c r="V8" s="97">
        <f t="shared" si="4"/>
        <v>1</v>
      </c>
      <c r="W8" s="96">
        <f t="shared" si="5"/>
        <v>0.11417984514369005</v>
      </c>
      <c r="X8" s="98">
        <f t="shared" si="6"/>
        <v>0.19571421215997953</v>
      </c>
      <c r="Y8" s="97">
        <f t="shared" ref="Y8:Y71" si="18">(T8*W8)/(Lm*Fsw)</f>
        <v>0.62279915532921848</v>
      </c>
      <c r="Z8" s="96">
        <f t="shared" si="8"/>
        <v>0.71168804421810739</v>
      </c>
      <c r="AA8" s="96">
        <f t="shared" ref="AA8:AA71" si="19">CHOOSE(V8,Z8*SQRT((W8+X8)/3),SQRT((U8^2)+((Y8^2)/12)))</f>
        <v>0.22873660284671518</v>
      </c>
      <c r="AB8" s="96">
        <v>0</v>
      </c>
      <c r="AC8" s="96">
        <f t="shared" ref="AC8:AC71" si="20">(AA8^2)*Rdcr</f>
        <v>5.2320433481855915E-4</v>
      </c>
      <c r="AD8" s="98">
        <f t="shared" ref="AD8:AD71" si="21">AB8+AC8</f>
        <v>5.2320433481855915E-4</v>
      </c>
      <c r="AE8" s="97">
        <f t="shared" ref="AE8:AE71" si="22">U8*S8*W8</f>
        <v>2.165188174576641E-4</v>
      </c>
      <c r="AF8" s="96">
        <f t="shared" ref="AF8:AF71" si="23">AA8</f>
        <v>0.22873660284671518</v>
      </c>
      <c r="AG8" s="96">
        <f t="shared" si="10"/>
        <v>2.3020990732016601E-4</v>
      </c>
      <c r="AH8" s="96">
        <f t="shared" si="11"/>
        <v>8.1375824175824188E-2</v>
      </c>
      <c r="AI8" s="98">
        <f t="shared" ref="AI8:AI71" si="24">AG8+AH8</f>
        <v>8.160603408314436E-2</v>
      </c>
      <c r="AJ8" s="97">
        <f t="shared" ref="AJ8:AJ71" si="25">S8</f>
        <v>5.3333333333333337E-2</v>
      </c>
      <c r="AK8" s="96">
        <f t="shared" ref="AK8:AK71" si="26">CHOOSE(V8,Z8*SQRT(X8/3),SQRT(X8*((Z8^2)+((Y8^2)/3)-(Y8*Z8))))</f>
        <v>0.18177754120810832</v>
      </c>
      <c r="AL8" s="96">
        <f t="shared" ref="AL8:AL71" si="27">S8*Vd_rect</f>
        <v>3.4666666666666669E-3</v>
      </c>
      <c r="AM8" s="96">
        <f t="shared" si="14"/>
        <v>4.8104000000000005</v>
      </c>
      <c r="AN8" s="98">
        <f t="shared" ref="AN8:AN71" si="28">AL8+AM8</f>
        <v>4.8138666666666667</v>
      </c>
      <c r="AO8" s="97">
        <f t="shared" si="15"/>
        <v>2.0928173392742363E-4</v>
      </c>
      <c r="AP8" s="96">
        <f t="shared" si="16"/>
        <v>0.29025000000000001</v>
      </c>
      <c r="AQ8" s="98">
        <f t="shared" ref="AQ8:AQ71" si="29">IQ*T8</f>
        <v>8.0999999999999996E-3</v>
      </c>
      <c r="AR8" s="97">
        <f t="shared" ref="AR8:AR71" si="30">AO8+AN8+AI8+AP8+AQ8</f>
        <v>5.1940319824837387</v>
      </c>
      <c r="AS8" s="96">
        <f t="shared" ref="AS8:AS71" si="31">R8*S8</f>
        <v>0.64</v>
      </c>
      <c r="AT8" s="98">
        <f t="shared" ref="AT8:AT71" si="32">(AS8/(AS8+AR8))*100</f>
        <v>10.970114698060518</v>
      </c>
    </row>
    <row r="9" spans="1:46" x14ac:dyDescent="0.3">
      <c r="N9" s="96" t="s">
        <v>195</v>
      </c>
      <c r="O9" s="96">
        <f>VIN_var</f>
        <v>18</v>
      </c>
      <c r="P9" t="s">
        <v>10</v>
      </c>
      <c r="Q9">
        <v>2</v>
      </c>
      <c r="R9" s="97">
        <f t="shared" si="0"/>
        <v>12</v>
      </c>
      <c r="S9" s="96">
        <f t="shared" si="1"/>
        <v>0.10666666666666667</v>
      </c>
      <c r="T9" s="96">
        <f t="shared" si="2"/>
        <v>18</v>
      </c>
      <c r="U9" s="98">
        <f t="shared" si="3"/>
        <v>7.1111111111111111E-2</v>
      </c>
      <c r="V9" s="97">
        <f t="shared" si="4"/>
        <v>1</v>
      </c>
      <c r="W9" s="96">
        <f t="shared" si="5"/>
        <v>0.16147468555186623</v>
      </c>
      <c r="X9" s="98">
        <f t="shared" si="6"/>
        <v>0.29110091721668824</v>
      </c>
      <c r="Y9" s="97">
        <f t="shared" si="18"/>
        <v>0.88077101210108855</v>
      </c>
      <c r="Z9" s="96">
        <f t="shared" si="8"/>
        <v>1.0585487898788664</v>
      </c>
      <c r="AA9" s="96">
        <f t="shared" si="19"/>
        <v>0.41114576568973382</v>
      </c>
      <c r="AB9" s="96">
        <v>0</v>
      </c>
      <c r="AC9" s="96">
        <f t="shared" si="20"/>
        <v>1.6904084064459752E-3</v>
      </c>
      <c r="AD9" s="98">
        <f t="shared" si="21"/>
        <v>1.6904084064459752E-3</v>
      </c>
      <c r="AE9" s="97">
        <f t="shared" si="22"/>
        <v>1.224815392630452E-3</v>
      </c>
      <c r="AF9" s="96">
        <f t="shared" si="23"/>
        <v>0.41114576568973382</v>
      </c>
      <c r="AG9" s="96">
        <f t="shared" si="10"/>
        <v>7.4377969883622909E-4</v>
      </c>
      <c r="AH9" s="96">
        <f t="shared" si="11"/>
        <v>0.16275164835164838</v>
      </c>
      <c r="AI9" s="98">
        <f t="shared" si="24"/>
        <v>0.16349542805048461</v>
      </c>
      <c r="AJ9" s="97">
        <f t="shared" si="25"/>
        <v>0.10666666666666667</v>
      </c>
      <c r="AK9" s="96">
        <f t="shared" si="26"/>
        <v>0.32974030823260414</v>
      </c>
      <c r="AL9" s="96">
        <f t="shared" si="27"/>
        <v>6.9333333333333339E-3</v>
      </c>
      <c r="AM9" s="96">
        <f t="shared" si="14"/>
        <v>4.8104000000000005</v>
      </c>
      <c r="AN9" s="98">
        <f t="shared" si="28"/>
        <v>4.8173333333333339</v>
      </c>
      <c r="AO9" s="97">
        <f t="shared" si="15"/>
        <v>6.7616336257839008E-4</v>
      </c>
      <c r="AP9" s="96">
        <f t="shared" si="16"/>
        <v>0.29025000000000001</v>
      </c>
      <c r="AQ9" s="98">
        <f t="shared" si="29"/>
        <v>8.0999999999999996E-3</v>
      </c>
      <c r="AR9" s="97">
        <f t="shared" si="30"/>
        <v>5.2798549247463971</v>
      </c>
      <c r="AS9" s="96">
        <f t="shared" si="31"/>
        <v>1.28</v>
      </c>
      <c r="AT9" s="98">
        <f t="shared" si="32"/>
        <v>19.512626646228533</v>
      </c>
    </row>
    <row r="10" spans="1:46" x14ac:dyDescent="0.3">
      <c r="N10" s="96"/>
      <c r="O10" s="96"/>
      <c r="Q10">
        <v>3</v>
      </c>
      <c r="R10" s="97">
        <f t="shared" si="0"/>
        <v>12</v>
      </c>
      <c r="S10" s="96">
        <f t="shared" si="1"/>
        <v>0.16</v>
      </c>
      <c r="T10" s="96">
        <f t="shared" si="2"/>
        <v>18</v>
      </c>
      <c r="U10" s="98">
        <f t="shared" si="3"/>
        <v>0.10666666666666666</v>
      </c>
      <c r="V10" s="97">
        <f t="shared" si="4"/>
        <v>1</v>
      </c>
      <c r="W10" s="96">
        <f t="shared" si="5"/>
        <v>0.19776529298921769</v>
      </c>
      <c r="X10" s="98">
        <f t="shared" si="6"/>
        <v>0.36998127281715981</v>
      </c>
      <c r="Y10" s="97">
        <f t="shared" si="18"/>
        <v>1.0787197799411874</v>
      </c>
      <c r="Z10" s="96">
        <f t="shared" si="8"/>
        <v>1.345386446607854</v>
      </c>
      <c r="AA10" s="96">
        <f t="shared" si="19"/>
        <v>0.58527999340527981</v>
      </c>
      <c r="AB10" s="96">
        <v>0</v>
      </c>
      <c r="AC10" s="96">
        <f t="shared" si="20"/>
        <v>3.4255267068048442E-3</v>
      </c>
      <c r="AD10" s="98">
        <f t="shared" si="21"/>
        <v>3.4255267068048442E-3</v>
      </c>
      <c r="AE10" s="97">
        <f t="shared" si="22"/>
        <v>3.3751943336826486E-3</v>
      </c>
      <c r="AF10" s="96">
        <f t="shared" si="23"/>
        <v>0.58527999340527981</v>
      </c>
      <c r="AG10" s="96">
        <f t="shared" si="10"/>
        <v>1.5072317509941314E-3</v>
      </c>
      <c r="AH10" s="96">
        <f t="shared" si="11"/>
        <v>0.24412747252747255</v>
      </c>
      <c r="AI10" s="98">
        <f t="shared" si="24"/>
        <v>0.24563470427846668</v>
      </c>
      <c r="AJ10" s="97">
        <f t="shared" si="25"/>
        <v>0.16</v>
      </c>
      <c r="AK10" s="96">
        <f t="shared" si="26"/>
        <v>0.4724722348641397</v>
      </c>
      <c r="AL10" s="96">
        <f t="shared" si="27"/>
        <v>1.0400000000000001E-2</v>
      </c>
      <c r="AM10" s="96">
        <f t="shared" si="14"/>
        <v>4.8104000000000005</v>
      </c>
      <c r="AN10" s="98">
        <f t="shared" si="28"/>
        <v>4.8208000000000002</v>
      </c>
      <c r="AO10" s="97">
        <f t="shared" si="15"/>
        <v>1.3702106827219375E-3</v>
      </c>
      <c r="AP10" s="96">
        <f t="shared" si="16"/>
        <v>0.29025000000000001</v>
      </c>
      <c r="AQ10" s="98">
        <f t="shared" si="29"/>
        <v>8.0999999999999996E-3</v>
      </c>
      <c r="AR10" s="97">
        <f t="shared" si="30"/>
        <v>5.3661549149611885</v>
      </c>
      <c r="AS10" s="96">
        <f t="shared" si="31"/>
        <v>1.92</v>
      </c>
      <c r="AT10" s="98">
        <f t="shared" si="32"/>
        <v>26.351347485866999</v>
      </c>
    </row>
    <row r="11" spans="1:46" x14ac:dyDescent="0.3">
      <c r="N11" s="96" t="s">
        <v>270</v>
      </c>
      <c r="O11" s="96">
        <v>150</v>
      </c>
      <c r="Q11">
        <v>4</v>
      </c>
      <c r="R11" s="97">
        <f t="shared" si="0"/>
        <v>12</v>
      </c>
      <c r="S11" s="96">
        <f t="shared" si="1"/>
        <v>0.21333333333333335</v>
      </c>
      <c r="T11" s="96">
        <f t="shared" si="2"/>
        <v>18</v>
      </c>
      <c r="U11" s="98">
        <f t="shared" si="3"/>
        <v>0.14222222222222222</v>
      </c>
      <c r="V11" s="97">
        <f t="shared" si="4"/>
        <v>1</v>
      </c>
      <c r="W11" s="96">
        <f t="shared" si="5"/>
        <v>0.2283596902873801</v>
      </c>
      <c r="X11" s="98">
        <f t="shared" si="6"/>
        <v>0.44031731320884787</v>
      </c>
      <c r="Y11" s="97">
        <f t="shared" si="18"/>
        <v>1.245598310658437</v>
      </c>
      <c r="Z11" s="96">
        <f t="shared" si="8"/>
        <v>1.6011538662139926</v>
      </c>
      <c r="AA11" s="96">
        <f t="shared" si="19"/>
        <v>0.75592835273356718</v>
      </c>
      <c r="AB11" s="96">
        <v>0</v>
      </c>
      <c r="AC11" s="96">
        <f t="shared" si="20"/>
        <v>5.7142767446648436E-3</v>
      </c>
      <c r="AD11" s="98">
        <f t="shared" si="21"/>
        <v>5.7142767446648436E-3</v>
      </c>
      <c r="AE11" s="97">
        <f t="shared" si="22"/>
        <v>6.9286021586452513E-3</v>
      </c>
      <c r="AF11" s="96">
        <f t="shared" si="23"/>
        <v>0.75592835273356718</v>
      </c>
      <c r="AG11" s="96">
        <f t="shared" si="10"/>
        <v>2.5142817676525311E-3</v>
      </c>
      <c r="AH11" s="96">
        <f t="shared" si="11"/>
        <v>0.32550329670329675</v>
      </c>
      <c r="AI11" s="98">
        <f t="shared" si="24"/>
        <v>0.32801757847094926</v>
      </c>
      <c r="AJ11" s="97">
        <f t="shared" si="25"/>
        <v>0.21333333333333335</v>
      </c>
      <c r="AK11" s="96">
        <f t="shared" si="26"/>
        <v>0.61341631413040143</v>
      </c>
      <c r="AL11" s="96">
        <f t="shared" si="27"/>
        <v>1.3866666666666668E-2</v>
      </c>
      <c r="AM11" s="96">
        <f t="shared" si="14"/>
        <v>4.8104000000000005</v>
      </c>
      <c r="AN11" s="98">
        <f t="shared" si="28"/>
        <v>4.8242666666666674</v>
      </c>
      <c r="AO11" s="97">
        <f t="shared" si="15"/>
        <v>2.2857106978659376E-3</v>
      </c>
      <c r="AP11" s="96">
        <f t="shared" si="16"/>
        <v>0.29025000000000001</v>
      </c>
      <c r="AQ11" s="98">
        <f t="shared" si="29"/>
        <v>8.0999999999999996E-3</v>
      </c>
      <c r="AR11" s="97">
        <f t="shared" si="30"/>
        <v>5.4529199558354824</v>
      </c>
      <c r="AS11" s="96">
        <f t="shared" si="31"/>
        <v>2.56</v>
      </c>
      <c r="AT11" s="98">
        <f t="shared" si="32"/>
        <v>31.94840350471312</v>
      </c>
    </row>
    <row r="12" spans="1:46" x14ac:dyDescent="0.3">
      <c r="N12" s="96" t="s">
        <v>271</v>
      </c>
      <c r="O12" s="96">
        <f>IOUT/(O11)</f>
        <v>5.3333333333333337E-2</v>
      </c>
      <c r="Q12">
        <v>5</v>
      </c>
      <c r="R12" s="97">
        <f t="shared" si="0"/>
        <v>12</v>
      </c>
      <c r="S12" s="96">
        <f t="shared" si="1"/>
        <v>0.26666666666666666</v>
      </c>
      <c r="T12" s="96">
        <f t="shared" si="2"/>
        <v>18</v>
      </c>
      <c r="U12" s="98">
        <f t="shared" si="3"/>
        <v>0.17777777777777778</v>
      </c>
      <c r="V12" s="97">
        <f t="shared" si="4"/>
        <v>1</v>
      </c>
      <c r="W12" s="96">
        <f t="shared" si="5"/>
        <v>0.25531389540169014</v>
      </c>
      <c r="X12" s="98">
        <f t="shared" si="6"/>
        <v>0.5051930653247575</v>
      </c>
      <c r="Y12" s="97">
        <f t="shared" si="18"/>
        <v>1.3926212476455828</v>
      </c>
      <c r="Z12" s="96">
        <f t="shared" si="8"/>
        <v>1.8370656920900272</v>
      </c>
      <c r="AA12" s="96">
        <f t="shared" si="19"/>
        <v>0.92494446097615945</v>
      </c>
      <c r="AB12" s="96">
        <v>0</v>
      </c>
      <c r="AC12" s="96">
        <f t="shared" si="20"/>
        <v>8.5552225589047813E-3</v>
      </c>
      <c r="AD12" s="98">
        <f t="shared" si="21"/>
        <v>8.5552225589047813E-3</v>
      </c>
      <c r="AE12" s="97">
        <f t="shared" si="22"/>
        <v>1.2103769856080126E-2</v>
      </c>
      <c r="AF12" s="96">
        <f t="shared" si="23"/>
        <v>0.92494446097615945</v>
      </c>
      <c r="AG12" s="96">
        <f t="shared" si="10"/>
        <v>3.7642979259181041E-3</v>
      </c>
      <c r="AH12" s="96">
        <f t="shared" si="11"/>
        <v>0.40687912087912087</v>
      </c>
      <c r="AI12" s="98">
        <f t="shared" si="24"/>
        <v>0.41064341880503896</v>
      </c>
      <c r="AJ12" s="97">
        <f t="shared" si="25"/>
        <v>0.26666666666666666</v>
      </c>
      <c r="AK12" s="96">
        <f t="shared" si="26"/>
        <v>0.75386355732098642</v>
      </c>
      <c r="AL12" s="96">
        <f t="shared" si="27"/>
        <v>1.7333333333333333E-2</v>
      </c>
      <c r="AM12" s="96">
        <f t="shared" si="14"/>
        <v>4.8104000000000005</v>
      </c>
      <c r="AN12" s="98">
        <f t="shared" si="28"/>
        <v>4.8277333333333337</v>
      </c>
      <c r="AO12" s="97">
        <f t="shared" si="15"/>
        <v>3.4220890235619125E-3</v>
      </c>
      <c r="AP12" s="96">
        <f t="shared" si="16"/>
        <v>0.29025000000000001</v>
      </c>
      <c r="AQ12" s="98">
        <f t="shared" si="29"/>
        <v>8.0999999999999996E-3</v>
      </c>
      <c r="AR12" s="97">
        <f t="shared" si="30"/>
        <v>5.5401488411619351</v>
      </c>
      <c r="AS12" s="96">
        <f t="shared" si="31"/>
        <v>3.2</v>
      </c>
      <c r="AT12" s="98">
        <f t="shared" si="32"/>
        <v>36.612648802152258</v>
      </c>
    </row>
    <row r="13" spans="1:46" x14ac:dyDescent="0.3">
      <c r="Q13">
        <v>6</v>
      </c>
      <c r="R13" s="97">
        <f t="shared" si="0"/>
        <v>12</v>
      </c>
      <c r="S13" s="96">
        <f t="shared" si="1"/>
        <v>0.32</v>
      </c>
      <c r="T13" s="96">
        <f t="shared" si="2"/>
        <v>18</v>
      </c>
      <c r="U13" s="98">
        <f t="shared" si="3"/>
        <v>0.21333333333333332</v>
      </c>
      <c r="V13" s="97">
        <f t="shared" si="4"/>
        <v>1</v>
      </c>
      <c r="W13" s="96">
        <f t="shared" si="5"/>
        <v>0.2796823595120404</v>
      </c>
      <c r="X13" s="98">
        <f t="shared" si="6"/>
        <v>0.56619020593472713</v>
      </c>
      <c r="Y13" s="97">
        <f t="shared" si="18"/>
        <v>1.5255401427929476</v>
      </c>
      <c r="Z13" s="96">
        <f t="shared" si="8"/>
        <v>2.0588734761262808</v>
      </c>
      <c r="AA13" s="96">
        <f t="shared" si="19"/>
        <v>1.0932550727310466</v>
      </c>
      <c r="AB13" s="96">
        <v>0</v>
      </c>
      <c r="AC13" s="96">
        <f t="shared" si="20"/>
        <v>1.1952066540521659E-2</v>
      </c>
      <c r="AD13" s="98">
        <f t="shared" si="21"/>
        <v>1.1952066540521659E-2</v>
      </c>
      <c r="AE13" s="97">
        <f t="shared" si="22"/>
        <v>1.9092982409355291E-2</v>
      </c>
      <c r="AF13" s="96">
        <f t="shared" si="23"/>
        <v>1.0932550727310466</v>
      </c>
      <c r="AG13" s="96">
        <f t="shared" si="10"/>
        <v>5.2589092778295302E-3</v>
      </c>
      <c r="AH13" s="96">
        <f t="shared" si="11"/>
        <v>0.4882549450549451</v>
      </c>
      <c r="AI13" s="98">
        <f t="shared" si="24"/>
        <v>0.49351385433277462</v>
      </c>
      <c r="AJ13" s="97">
        <f t="shared" si="25"/>
        <v>0.32</v>
      </c>
      <c r="AK13" s="96">
        <f t="shared" si="26"/>
        <v>0.89443792966708346</v>
      </c>
      <c r="AL13" s="96">
        <f t="shared" si="27"/>
        <v>2.0800000000000003E-2</v>
      </c>
      <c r="AM13" s="96">
        <f t="shared" si="14"/>
        <v>4.8104000000000005</v>
      </c>
      <c r="AN13" s="98">
        <f t="shared" si="28"/>
        <v>4.8312000000000008</v>
      </c>
      <c r="AO13" s="97">
        <f t="shared" si="15"/>
        <v>4.7808266162086641E-3</v>
      </c>
      <c r="AP13" s="96">
        <f t="shared" si="16"/>
        <v>0.29025000000000001</v>
      </c>
      <c r="AQ13" s="98">
        <f t="shared" si="29"/>
        <v>8.0999999999999996E-3</v>
      </c>
      <c r="AR13" s="97">
        <f t="shared" si="30"/>
        <v>5.6278446809489839</v>
      </c>
      <c r="AS13" s="96">
        <f t="shared" si="31"/>
        <v>3.84</v>
      </c>
      <c r="AT13" s="98">
        <f t="shared" si="32"/>
        <v>40.558333278605367</v>
      </c>
    </row>
    <row r="14" spans="1:46" x14ac:dyDescent="0.3">
      <c r="Q14" s="32">
        <v>7</v>
      </c>
      <c r="R14" s="97">
        <f t="shared" si="0"/>
        <v>12</v>
      </c>
      <c r="S14" s="96">
        <f t="shared" si="1"/>
        <v>0.37333333333333335</v>
      </c>
      <c r="T14" s="96">
        <f t="shared" si="2"/>
        <v>18</v>
      </c>
      <c r="U14" s="98">
        <f t="shared" si="3"/>
        <v>0.24888888888888891</v>
      </c>
      <c r="V14" s="97">
        <f t="shared" si="4"/>
        <v>1</v>
      </c>
      <c r="W14" s="96">
        <f t="shared" si="5"/>
        <v>0.30209147498606986</v>
      </c>
      <c r="X14" s="98">
        <f t="shared" si="6"/>
        <v>0.62424832359021598</v>
      </c>
      <c r="Y14" s="97">
        <f t="shared" si="18"/>
        <v>1.6477716817421995</v>
      </c>
      <c r="Z14" s="96">
        <f t="shared" si="8"/>
        <v>2.2699939039644219</v>
      </c>
      <c r="AA14" s="96">
        <f t="shared" si="19"/>
        <v>1.2613895394546033</v>
      </c>
      <c r="AB14" s="96">
        <v>0</v>
      </c>
      <c r="AC14" s="96">
        <f t="shared" si="20"/>
        <v>1.5911035702454963E-2</v>
      </c>
      <c r="AD14" s="98">
        <f t="shared" si="21"/>
        <v>1.5911035702454963E-2</v>
      </c>
      <c r="AE14" s="97">
        <f t="shared" si="22"/>
        <v>2.8069892312779707E-2</v>
      </c>
      <c r="AF14" s="96">
        <f t="shared" si="23"/>
        <v>1.2613895394546033</v>
      </c>
      <c r="AG14" s="96">
        <f t="shared" si="10"/>
        <v>7.0008557090801846E-3</v>
      </c>
      <c r="AH14" s="96">
        <f t="shared" si="11"/>
        <v>0.56963076923076938</v>
      </c>
      <c r="AI14" s="98">
        <f t="shared" si="24"/>
        <v>0.57663162493984954</v>
      </c>
      <c r="AJ14" s="97">
        <f t="shared" si="25"/>
        <v>0.37333333333333335</v>
      </c>
      <c r="AK14" s="96">
        <f t="shared" si="26"/>
        <v>1.0354824817371637</v>
      </c>
      <c r="AL14" s="96">
        <f t="shared" si="27"/>
        <v>2.4266666666666669E-2</v>
      </c>
      <c r="AM14" s="96">
        <f t="shared" si="14"/>
        <v>4.8104000000000005</v>
      </c>
      <c r="AN14" s="98">
        <f t="shared" si="28"/>
        <v>4.8346666666666671</v>
      </c>
      <c r="AO14" s="97">
        <f t="shared" si="15"/>
        <v>6.3644142809819856E-3</v>
      </c>
      <c r="AP14" s="96">
        <f t="shared" si="16"/>
        <v>0.29025000000000001</v>
      </c>
      <c r="AQ14" s="98">
        <f t="shared" si="29"/>
        <v>8.0999999999999996E-3</v>
      </c>
      <c r="AR14" s="97">
        <f t="shared" si="30"/>
        <v>5.7160127058874979</v>
      </c>
      <c r="AS14" s="96">
        <f t="shared" si="31"/>
        <v>4.4800000000000004</v>
      </c>
      <c r="AT14" s="98">
        <f t="shared" si="32"/>
        <v>43.938744774347995</v>
      </c>
    </row>
    <row r="15" spans="1:46" x14ac:dyDescent="0.3">
      <c r="O15">
        <f>0.205*2.5/(Lm*Fsw)</f>
        <v>0.1553030303030303</v>
      </c>
      <c r="Q15" s="32">
        <v>8</v>
      </c>
      <c r="R15" s="97">
        <f t="shared" si="0"/>
        <v>12</v>
      </c>
      <c r="S15" s="96">
        <f t="shared" si="1"/>
        <v>0.42666666666666669</v>
      </c>
      <c r="T15" s="96">
        <f t="shared" si="2"/>
        <v>18</v>
      </c>
      <c r="U15" s="98">
        <f t="shared" si="3"/>
        <v>0.28444444444444444</v>
      </c>
      <c r="V15" s="97">
        <f t="shared" si="4"/>
        <v>1</v>
      </c>
      <c r="W15" s="96">
        <f t="shared" si="5"/>
        <v>0.32294937110373245</v>
      </c>
      <c r="X15" s="98">
        <f t="shared" si="6"/>
        <v>0.67997961221115422</v>
      </c>
      <c r="Y15" s="97">
        <f t="shared" si="18"/>
        <v>1.7615420242021771</v>
      </c>
      <c r="Z15" s="96">
        <f t="shared" si="8"/>
        <v>2.4726531353132883</v>
      </c>
      <c r="AA15" s="96">
        <f t="shared" si="19"/>
        <v>1.4296761138085197</v>
      </c>
      <c r="AB15" s="96">
        <v>0</v>
      </c>
      <c r="AC15" s="96">
        <f t="shared" si="20"/>
        <v>2.0439737903946313E-2</v>
      </c>
      <c r="AD15" s="98">
        <f t="shared" si="21"/>
        <v>2.0439737903946313E-2</v>
      </c>
      <c r="AE15" s="97">
        <f t="shared" si="22"/>
        <v>3.9194092564174464E-2</v>
      </c>
      <c r="AF15" s="96">
        <f t="shared" si="23"/>
        <v>1.4296761138085197</v>
      </c>
      <c r="AG15" s="96">
        <f t="shared" si="10"/>
        <v>8.9934846777363787E-3</v>
      </c>
      <c r="AH15" s="96">
        <f t="shared" si="11"/>
        <v>0.6510065934065935</v>
      </c>
      <c r="AI15" s="98">
        <f t="shared" si="24"/>
        <v>0.66000007808432992</v>
      </c>
      <c r="AJ15" s="97">
        <f t="shared" si="25"/>
        <v>0.42666666666666669</v>
      </c>
      <c r="AK15" s="96">
        <f t="shared" si="26"/>
        <v>1.1772007117924499</v>
      </c>
      <c r="AL15" s="96">
        <f t="shared" si="27"/>
        <v>2.7733333333333336E-2</v>
      </c>
      <c r="AM15" s="96">
        <f t="shared" si="14"/>
        <v>4.8104000000000005</v>
      </c>
      <c r="AN15" s="98">
        <f t="shared" si="28"/>
        <v>4.8381333333333334</v>
      </c>
      <c r="AO15" s="97">
        <f t="shared" si="15"/>
        <v>8.1758951615785256E-3</v>
      </c>
      <c r="AP15" s="96">
        <f t="shared" si="16"/>
        <v>0.29025000000000001</v>
      </c>
      <c r="AQ15" s="98">
        <f t="shared" si="29"/>
        <v>8.0999999999999996E-3</v>
      </c>
      <c r="AR15" s="97">
        <f t="shared" si="30"/>
        <v>5.804659306579242</v>
      </c>
      <c r="AS15" s="96">
        <f t="shared" si="31"/>
        <v>5.12</v>
      </c>
      <c r="AT15" s="98">
        <f t="shared" si="32"/>
        <v>46.866450076997303</v>
      </c>
    </row>
    <row r="16" spans="1:46" x14ac:dyDescent="0.3">
      <c r="Q16" s="32">
        <v>9</v>
      </c>
      <c r="R16" s="97">
        <f t="shared" si="0"/>
        <v>12</v>
      </c>
      <c r="S16" s="96">
        <f t="shared" si="1"/>
        <v>0.48000000000000004</v>
      </c>
      <c r="T16" s="96">
        <f t="shared" si="2"/>
        <v>18</v>
      </c>
      <c r="U16" s="98">
        <f t="shared" si="3"/>
        <v>0.32000000000000006</v>
      </c>
      <c r="V16" s="97">
        <f t="shared" si="4"/>
        <v>1</v>
      </c>
      <c r="W16" s="96">
        <f t="shared" si="5"/>
        <v>0.34253953543107013</v>
      </c>
      <c r="X16" s="98">
        <f t="shared" si="6"/>
        <v>0.73380930314660509</v>
      </c>
      <c r="Y16" s="97">
        <f t="shared" si="18"/>
        <v>1.8683974659876552</v>
      </c>
      <c r="Z16" s="96">
        <f t="shared" si="8"/>
        <v>2.6683974659876553</v>
      </c>
      <c r="AA16" s="96">
        <f t="shared" si="19"/>
        <v>1.5983298689880023</v>
      </c>
      <c r="AB16" s="96">
        <v>0</v>
      </c>
      <c r="AC16" s="96">
        <f t="shared" si="20"/>
        <v>2.5546583700992047E-2</v>
      </c>
      <c r="AD16" s="98">
        <f t="shared" si="21"/>
        <v>2.5546583700992047E-2</v>
      </c>
      <c r="AE16" s="97">
        <f t="shared" si="22"/>
        <v>5.2614072642212385E-2</v>
      </c>
      <c r="AF16" s="96">
        <f t="shared" si="23"/>
        <v>1.5983298689880023</v>
      </c>
      <c r="AG16" s="96">
        <f t="shared" si="10"/>
        <v>1.1240496828436501E-2</v>
      </c>
      <c r="AH16" s="96">
        <f t="shared" si="11"/>
        <v>0.73238241758241762</v>
      </c>
      <c r="AI16" s="98">
        <f t="shared" si="24"/>
        <v>0.74362291441085415</v>
      </c>
      <c r="AJ16" s="97">
        <f t="shared" si="25"/>
        <v>0.48000000000000004</v>
      </c>
      <c r="AK16" s="96">
        <f t="shared" si="26"/>
        <v>1.3197190899821107</v>
      </c>
      <c r="AL16" s="96">
        <f t="shared" si="27"/>
        <v>3.1200000000000002E-2</v>
      </c>
      <c r="AM16" s="96">
        <f t="shared" si="14"/>
        <v>4.8104000000000005</v>
      </c>
      <c r="AN16" s="98">
        <f t="shared" si="28"/>
        <v>4.8416000000000006</v>
      </c>
      <c r="AO16" s="97">
        <f t="shared" si="15"/>
        <v>1.0218633480396817E-2</v>
      </c>
      <c r="AP16" s="96">
        <f t="shared" si="16"/>
        <v>0.29025000000000001</v>
      </c>
      <c r="AQ16" s="98">
        <f t="shared" si="29"/>
        <v>8.0999999999999996E-3</v>
      </c>
      <c r="AR16" s="97">
        <f t="shared" si="30"/>
        <v>5.8937915478912517</v>
      </c>
      <c r="AS16" s="96">
        <f t="shared" si="31"/>
        <v>5.7600000000000007</v>
      </c>
      <c r="AT16" s="98">
        <f t="shared" si="32"/>
        <v>49.425974167542662</v>
      </c>
    </row>
    <row r="17" spans="17:46" x14ac:dyDescent="0.3">
      <c r="Q17" s="32">
        <v>10</v>
      </c>
      <c r="R17" s="97">
        <f t="shared" si="0"/>
        <v>12</v>
      </c>
      <c r="S17" s="96">
        <f t="shared" si="1"/>
        <v>0.53333333333333333</v>
      </c>
      <c r="T17" s="96">
        <f t="shared" si="2"/>
        <v>18</v>
      </c>
      <c r="U17" s="98">
        <f t="shared" si="3"/>
        <v>0.35555555555555557</v>
      </c>
      <c r="V17" s="97">
        <f t="shared" si="4"/>
        <v>1</v>
      </c>
      <c r="W17" s="96">
        <f t="shared" si="5"/>
        <v>0.36106837353937604</v>
      </c>
      <c r="X17" s="98">
        <f t="shared" si="6"/>
        <v>0.7860470047535083</v>
      </c>
      <c r="Y17" s="97">
        <f t="shared" si="18"/>
        <v>1.9694638556693238</v>
      </c>
      <c r="Z17" s="96">
        <f t="shared" si="8"/>
        <v>2.8583527445582124</v>
      </c>
      <c r="AA17" s="96">
        <f t="shared" si="19"/>
        <v>1.7674972507667017</v>
      </c>
      <c r="AB17" s="96">
        <v>0</v>
      </c>
      <c r="AC17" s="96">
        <f t="shared" si="20"/>
        <v>3.1240465314678487E-2</v>
      </c>
      <c r="AD17" s="98">
        <f t="shared" si="21"/>
        <v>3.1240465314678487E-2</v>
      </c>
      <c r="AE17" s="97">
        <f t="shared" si="22"/>
        <v>6.846926194524465E-2</v>
      </c>
      <c r="AF17" s="96">
        <f t="shared" si="23"/>
        <v>1.7674972507667017</v>
      </c>
      <c r="AG17" s="96">
        <f t="shared" si="10"/>
        <v>1.3745804738458536E-2</v>
      </c>
      <c r="AH17" s="96">
        <f t="shared" si="11"/>
        <v>0.81375824175824174</v>
      </c>
      <c r="AI17" s="98">
        <f t="shared" si="24"/>
        <v>0.82750404649670029</v>
      </c>
      <c r="AJ17" s="97">
        <f t="shared" si="25"/>
        <v>0.53333333333333333</v>
      </c>
      <c r="AK17" s="96">
        <f t="shared" si="26"/>
        <v>1.463118341238175</v>
      </c>
      <c r="AL17" s="96">
        <f t="shared" si="27"/>
        <v>3.4666666666666665E-2</v>
      </c>
      <c r="AM17" s="96">
        <f t="shared" si="14"/>
        <v>4.8104000000000005</v>
      </c>
      <c r="AN17" s="98">
        <f t="shared" si="28"/>
        <v>4.8450666666666669</v>
      </c>
      <c r="AO17" s="97">
        <f t="shared" si="15"/>
        <v>1.2496186125871394E-2</v>
      </c>
      <c r="AP17" s="96">
        <f t="shared" si="16"/>
        <v>0.29025000000000001</v>
      </c>
      <c r="AQ17" s="98">
        <f t="shared" si="29"/>
        <v>8.0999999999999996E-3</v>
      </c>
      <c r="AR17" s="97">
        <f t="shared" si="30"/>
        <v>5.9834168992892387</v>
      </c>
      <c r="AS17" s="96">
        <f t="shared" si="31"/>
        <v>6.4</v>
      </c>
      <c r="AT17" s="98">
        <f t="shared" si="32"/>
        <v>51.682020011515043</v>
      </c>
    </row>
    <row r="18" spans="17:46" x14ac:dyDescent="0.3">
      <c r="Q18" s="32">
        <v>11</v>
      </c>
      <c r="R18" s="97">
        <f t="shared" si="0"/>
        <v>12</v>
      </c>
      <c r="S18" s="96">
        <f t="shared" si="1"/>
        <v>0.58666666666666667</v>
      </c>
      <c r="T18" s="96">
        <f t="shared" si="2"/>
        <v>18</v>
      </c>
      <c r="U18" s="98">
        <f t="shared" si="3"/>
        <v>0.39111111111111113</v>
      </c>
      <c r="V18" s="97">
        <f t="shared" si="4"/>
        <v>1</v>
      </c>
      <c r="W18" s="96">
        <f t="shared" si="5"/>
        <v>0.37869170496250298</v>
      </c>
      <c r="X18" s="98">
        <f t="shared" si="6"/>
        <v>0.83692644633264335</v>
      </c>
      <c r="Y18" s="97">
        <f t="shared" si="18"/>
        <v>2.0655911179772892</v>
      </c>
      <c r="Z18" s="96">
        <f t="shared" si="8"/>
        <v>3.0433688957550671</v>
      </c>
      <c r="AA18" s="96">
        <f t="shared" si="19"/>
        <v>1.937280729257858</v>
      </c>
      <c r="AB18" s="96">
        <v>0</v>
      </c>
      <c r="AC18" s="96">
        <f t="shared" si="20"/>
        <v>3.7530566239538578E-2</v>
      </c>
      <c r="AD18" s="98">
        <f t="shared" si="21"/>
        <v>3.7530566239538578E-2</v>
      </c>
      <c r="AE18" s="97">
        <f t="shared" si="22"/>
        <v>8.689151298458142E-2</v>
      </c>
      <c r="AF18" s="96">
        <f t="shared" si="23"/>
        <v>1.937280729257858</v>
      </c>
      <c r="AG18" s="96">
        <f t="shared" si="10"/>
        <v>1.6513449145396975E-2</v>
      </c>
      <c r="AH18" s="96">
        <f t="shared" si="11"/>
        <v>0.89513406593406608</v>
      </c>
      <c r="AI18" s="98">
        <f t="shared" si="24"/>
        <v>0.91164751507946307</v>
      </c>
      <c r="AJ18" s="97">
        <f t="shared" si="25"/>
        <v>0.58666666666666667</v>
      </c>
      <c r="AK18" s="96">
        <f t="shared" si="26"/>
        <v>1.6074505294865871</v>
      </c>
      <c r="AL18" s="96">
        <f t="shared" si="27"/>
        <v>3.8133333333333332E-2</v>
      </c>
      <c r="AM18" s="96">
        <f t="shared" si="14"/>
        <v>4.8104000000000005</v>
      </c>
      <c r="AN18" s="98">
        <f t="shared" si="28"/>
        <v>4.848533333333334</v>
      </c>
      <c r="AO18" s="97">
        <f t="shared" si="15"/>
        <v>1.5012226495815432E-2</v>
      </c>
      <c r="AP18" s="96">
        <f t="shared" si="16"/>
        <v>0.29025000000000001</v>
      </c>
      <c r="AQ18" s="98">
        <f t="shared" si="29"/>
        <v>8.0999999999999996E-3</v>
      </c>
      <c r="AR18" s="97">
        <f t="shared" si="30"/>
        <v>6.0735430749086126</v>
      </c>
      <c r="AS18" s="96">
        <f t="shared" si="31"/>
        <v>7.04</v>
      </c>
      <c r="AT18" s="98">
        <f t="shared" si="32"/>
        <v>53.684957297851113</v>
      </c>
    </row>
    <row r="19" spans="17:46" x14ac:dyDescent="0.3">
      <c r="Q19" s="32">
        <v>12</v>
      </c>
      <c r="R19" s="97">
        <f t="shared" si="0"/>
        <v>12</v>
      </c>
      <c r="S19" s="96">
        <f t="shared" si="1"/>
        <v>0.64</v>
      </c>
      <c r="T19" s="96">
        <f t="shared" si="2"/>
        <v>18</v>
      </c>
      <c r="U19" s="98">
        <f t="shared" si="3"/>
        <v>0.42666666666666664</v>
      </c>
      <c r="V19" s="97">
        <f t="shared" si="4"/>
        <v>1</v>
      </c>
      <c r="W19" s="96">
        <f t="shared" si="5"/>
        <v>0.39553058597843538</v>
      </c>
      <c r="X19" s="98">
        <f t="shared" si="6"/>
        <v>0.88662921230098635</v>
      </c>
      <c r="Y19" s="97">
        <f t="shared" si="18"/>
        <v>2.1574395598823748</v>
      </c>
      <c r="Z19" s="96">
        <f>U19+S19+(Y19)</f>
        <v>3.2241062265490417</v>
      </c>
      <c r="AA19" s="96">
        <f t="shared" si="19"/>
        <v>2.1077533720139821</v>
      </c>
      <c r="AB19" s="96">
        <v>0</v>
      </c>
      <c r="AC19" s="96">
        <f t="shared" si="20"/>
        <v>4.4426242772363116E-2</v>
      </c>
      <c r="AD19" s="98">
        <f t="shared" si="21"/>
        <v>4.4426242772363116E-2</v>
      </c>
      <c r="AE19" s="97">
        <f t="shared" si="22"/>
        <v>0.10800621867784475</v>
      </c>
      <c r="AF19" s="96">
        <f t="shared" si="23"/>
        <v>2.1077533720139821</v>
      </c>
      <c r="AG19" s="96">
        <f t="shared" si="10"/>
        <v>1.9547546819839771E-2</v>
      </c>
      <c r="AH19" s="96">
        <f t="shared" si="11"/>
        <v>0.9765098901098902</v>
      </c>
      <c r="AI19" s="98">
        <f t="shared" si="24"/>
        <v>0.99605743692972992</v>
      </c>
      <c r="AJ19" s="97">
        <f t="shared" si="25"/>
        <v>0.64</v>
      </c>
      <c r="AK19" s="96">
        <f t="shared" si="26"/>
        <v>1.7527490203493841</v>
      </c>
      <c r="AL19" s="96">
        <f t="shared" si="27"/>
        <v>4.1600000000000005E-2</v>
      </c>
      <c r="AM19" s="96">
        <f t="shared" si="14"/>
        <v>4.8104000000000005</v>
      </c>
      <c r="AN19" s="98">
        <f t="shared" si="28"/>
        <v>4.8520000000000003</v>
      </c>
      <c r="AO19" s="97">
        <f t="shared" si="15"/>
        <v>1.7770497108945248E-2</v>
      </c>
      <c r="AP19" s="96">
        <f t="shared" si="16"/>
        <v>0.29025000000000001</v>
      </c>
      <c r="AQ19" s="98">
        <f t="shared" si="29"/>
        <v>8.0999999999999996E-3</v>
      </c>
      <c r="AR19" s="97">
        <f t="shared" si="30"/>
        <v>6.1641779340386762</v>
      </c>
      <c r="AS19" s="96">
        <f t="shared" si="31"/>
        <v>7.68</v>
      </c>
      <c r="AT19" s="98">
        <f t="shared" si="32"/>
        <v>55.474583153956623</v>
      </c>
    </row>
    <row r="20" spans="17:46" x14ac:dyDescent="0.3">
      <c r="Q20" s="32">
        <v>13</v>
      </c>
      <c r="R20" s="97">
        <f t="shared" si="0"/>
        <v>12</v>
      </c>
      <c r="S20" s="96">
        <f t="shared" si="1"/>
        <v>0.69333333333333336</v>
      </c>
      <c r="T20" s="96">
        <f t="shared" si="2"/>
        <v>18</v>
      </c>
      <c r="U20" s="98">
        <f t="shared" si="3"/>
        <v>0.46222222222222226</v>
      </c>
      <c r="V20" s="97">
        <f t="shared" si="4"/>
        <v>2</v>
      </c>
      <c r="W20" s="96">
        <f t="shared" si="5"/>
        <v>0.4</v>
      </c>
      <c r="X20" s="98">
        <f t="shared" si="6"/>
        <v>0.6</v>
      </c>
      <c r="Y20" s="97">
        <f t="shared" si="18"/>
        <v>2.1818181818181821</v>
      </c>
      <c r="Z20" s="96">
        <f t="shared" ref="Z20:Z71" si="33">CHOOSE(V20,Y20,U20+S20+(Y20))</f>
        <v>3.3373737373737375</v>
      </c>
      <c r="AA20" s="96">
        <f t="shared" si="19"/>
        <v>0.78124490244230238</v>
      </c>
      <c r="AB20" s="96">
        <v>0</v>
      </c>
      <c r="AC20" s="96">
        <f t="shared" si="20"/>
        <v>6.1034359759208259E-3</v>
      </c>
      <c r="AD20" s="98">
        <f t="shared" si="21"/>
        <v>6.1034359759208259E-3</v>
      </c>
      <c r="AE20" s="97">
        <f t="shared" si="22"/>
        <v>0.12818962962962965</v>
      </c>
      <c r="AF20" s="96">
        <f t="shared" si="23"/>
        <v>0.78124490244230238</v>
      </c>
      <c r="AG20" s="96">
        <f t="shared" si="10"/>
        <v>2.6855118294051633E-3</v>
      </c>
      <c r="AH20" s="96">
        <f t="shared" si="11"/>
        <v>1.0578857142857145</v>
      </c>
      <c r="AI20" s="98">
        <f t="shared" si="24"/>
        <v>1.0605712261151197</v>
      </c>
      <c r="AJ20" s="97">
        <f t="shared" si="25"/>
        <v>0.69333333333333336</v>
      </c>
      <c r="AK20" s="96">
        <f t="shared" si="26"/>
        <v>1.807201862995647</v>
      </c>
      <c r="AL20" s="96">
        <f t="shared" si="27"/>
        <v>4.5066666666666672E-2</v>
      </c>
      <c r="AM20" s="96">
        <f t="shared" si="14"/>
        <v>4.8104000000000005</v>
      </c>
      <c r="AN20" s="98">
        <f t="shared" si="28"/>
        <v>4.8554666666666675</v>
      </c>
      <c r="AO20" s="97">
        <f t="shared" si="15"/>
        <v>2.4413743903683302E-3</v>
      </c>
      <c r="AP20" s="96">
        <f t="shared" si="16"/>
        <v>0.29025000000000001</v>
      </c>
      <c r="AQ20" s="98">
        <f t="shared" si="29"/>
        <v>8.0999999999999996E-3</v>
      </c>
      <c r="AR20" s="97">
        <f t="shared" si="30"/>
        <v>6.2168292671721561</v>
      </c>
      <c r="AS20" s="96">
        <f t="shared" si="31"/>
        <v>8.32</v>
      </c>
      <c r="AT20" s="98">
        <f t="shared" si="32"/>
        <v>57.233939032280368</v>
      </c>
    </row>
    <row r="21" spans="17:46" x14ac:dyDescent="0.3">
      <c r="Q21" s="32">
        <v>14</v>
      </c>
      <c r="R21" s="97">
        <f t="shared" si="0"/>
        <v>12</v>
      </c>
      <c r="S21" s="96">
        <f t="shared" si="1"/>
        <v>0.7466666666666667</v>
      </c>
      <c r="T21" s="96">
        <f t="shared" si="2"/>
        <v>18</v>
      </c>
      <c r="U21" s="98">
        <f t="shared" si="3"/>
        <v>0.49777777777777782</v>
      </c>
      <c r="V21" s="97">
        <f t="shared" si="4"/>
        <v>2</v>
      </c>
      <c r="W21" s="96">
        <f t="shared" si="5"/>
        <v>0.4</v>
      </c>
      <c r="X21" s="98">
        <f t="shared" si="6"/>
        <v>0.6</v>
      </c>
      <c r="Y21" s="97">
        <f t="shared" si="18"/>
        <v>2.1818181818181821</v>
      </c>
      <c r="Z21" s="96">
        <f t="shared" si="33"/>
        <v>3.4262626262626266</v>
      </c>
      <c r="AA21" s="96">
        <f t="shared" si="19"/>
        <v>0.80279320558000233</v>
      </c>
      <c r="AB21" s="96">
        <v>0</v>
      </c>
      <c r="AC21" s="96">
        <f t="shared" si="20"/>
        <v>6.4447693092541591E-3</v>
      </c>
      <c r="AD21" s="98">
        <f t="shared" si="21"/>
        <v>6.4447693092541591E-3</v>
      </c>
      <c r="AE21" s="97">
        <f t="shared" si="22"/>
        <v>0.14866962962962965</v>
      </c>
      <c r="AF21" s="96">
        <f t="shared" si="23"/>
        <v>0.80279320558000233</v>
      </c>
      <c r="AG21" s="96">
        <f t="shared" si="10"/>
        <v>2.8356984960718301E-3</v>
      </c>
      <c r="AH21" s="96">
        <f t="shared" si="11"/>
        <v>1.1392615384615388</v>
      </c>
      <c r="AI21" s="98">
        <f t="shared" si="24"/>
        <v>1.1420972369576106</v>
      </c>
      <c r="AJ21" s="97">
        <f t="shared" si="25"/>
        <v>0.7466666666666667</v>
      </c>
      <c r="AK21" s="96">
        <f t="shared" si="26"/>
        <v>1.8735907263803837</v>
      </c>
      <c r="AL21" s="96">
        <f t="shared" si="27"/>
        <v>4.8533333333333338E-2</v>
      </c>
      <c r="AM21" s="96">
        <f t="shared" si="14"/>
        <v>4.8104000000000005</v>
      </c>
      <c r="AN21" s="98">
        <f t="shared" si="28"/>
        <v>4.8589333333333338</v>
      </c>
      <c r="AO21" s="97">
        <f t="shared" si="15"/>
        <v>2.5779077237016636E-3</v>
      </c>
      <c r="AP21" s="96">
        <f t="shared" si="16"/>
        <v>0.29025000000000001</v>
      </c>
      <c r="AQ21" s="98">
        <f t="shared" si="29"/>
        <v>8.0999999999999996E-3</v>
      </c>
      <c r="AR21" s="97">
        <f t="shared" si="30"/>
        <v>6.3019584780146465</v>
      </c>
      <c r="AS21" s="96">
        <f t="shared" si="31"/>
        <v>8.9600000000000009</v>
      </c>
      <c r="AT21" s="98">
        <f t="shared" si="32"/>
        <v>58.708061700647228</v>
      </c>
    </row>
    <row r="22" spans="17:46" x14ac:dyDescent="0.3">
      <c r="Q22" s="32">
        <v>15</v>
      </c>
      <c r="R22" s="97">
        <f t="shared" si="0"/>
        <v>12</v>
      </c>
      <c r="S22" s="96">
        <f t="shared" si="1"/>
        <v>0.8</v>
      </c>
      <c r="T22" s="96">
        <f t="shared" si="2"/>
        <v>18</v>
      </c>
      <c r="U22" s="98">
        <f t="shared" si="3"/>
        <v>0.53333333333333344</v>
      </c>
      <c r="V22" s="97">
        <f t="shared" si="4"/>
        <v>2</v>
      </c>
      <c r="W22" s="96">
        <f t="shared" si="5"/>
        <v>0.4</v>
      </c>
      <c r="X22" s="98">
        <f t="shared" si="6"/>
        <v>0.6</v>
      </c>
      <c r="Y22" s="97">
        <f t="shared" si="18"/>
        <v>2.1818181818181821</v>
      </c>
      <c r="Z22" s="96">
        <f t="shared" si="33"/>
        <v>3.5151515151515156</v>
      </c>
      <c r="AA22" s="96">
        <f t="shared" si="19"/>
        <v>0.82531124996602201</v>
      </c>
      <c r="AB22" s="96">
        <v>0</v>
      </c>
      <c r="AC22" s="96">
        <f t="shared" si="20"/>
        <v>6.811386593204777E-3</v>
      </c>
      <c r="AD22" s="98">
        <f t="shared" si="21"/>
        <v>6.811386593204777E-3</v>
      </c>
      <c r="AE22" s="97">
        <f t="shared" si="22"/>
        <v>0.17066666666666672</v>
      </c>
      <c r="AF22" s="96">
        <f t="shared" si="23"/>
        <v>0.82531124996602201</v>
      </c>
      <c r="AG22" s="96">
        <f t="shared" si="10"/>
        <v>2.9970101010101018E-3</v>
      </c>
      <c r="AH22" s="96">
        <f t="shared" si="11"/>
        <v>1.220637362637363</v>
      </c>
      <c r="AI22" s="98">
        <f t="shared" si="24"/>
        <v>1.2236343727383732</v>
      </c>
      <c r="AJ22" s="97">
        <f t="shared" si="25"/>
        <v>0.8</v>
      </c>
      <c r="AK22" s="96">
        <f t="shared" si="26"/>
        <v>1.9401513672452704</v>
      </c>
      <c r="AL22" s="96">
        <f t="shared" si="27"/>
        <v>5.2000000000000005E-2</v>
      </c>
      <c r="AM22" s="96">
        <f t="shared" si="14"/>
        <v>4.8104000000000005</v>
      </c>
      <c r="AN22" s="98">
        <f t="shared" si="28"/>
        <v>4.8624000000000001</v>
      </c>
      <c r="AO22" s="97">
        <f t="shared" si="15"/>
        <v>2.724554637281911E-3</v>
      </c>
      <c r="AP22" s="96">
        <f t="shared" si="16"/>
        <v>0.29025000000000001</v>
      </c>
      <c r="AQ22" s="98">
        <f t="shared" si="29"/>
        <v>8.0999999999999996E-3</v>
      </c>
      <c r="AR22" s="97">
        <f t="shared" si="30"/>
        <v>6.3871089273756549</v>
      </c>
      <c r="AS22" s="96">
        <f t="shared" si="31"/>
        <v>9.6000000000000014</v>
      </c>
      <c r="AT22" s="98">
        <f t="shared" si="32"/>
        <v>60.048380502126705</v>
      </c>
    </row>
    <row r="23" spans="17:46" x14ac:dyDescent="0.3">
      <c r="Q23" s="32">
        <v>16</v>
      </c>
      <c r="R23" s="97">
        <f t="shared" si="0"/>
        <v>12</v>
      </c>
      <c r="S23" s="96">
        <f t="shared" si="1"/>
        <v>0.85333333333333339</v>
      </c>
      <c r="T23" s="96">
        <f t="shared" si="2"/>
        <v>18</v>
      </c>
      <c r="U23" s="98">
        <f t="shared" si="3"/>
        <v>0.56888888888888889</v>
      </c>
      <c r="V23" s="97">
        <f t="shared" si="4"/>
        <v>2</v>
      </c>
      <c r="W23" s="96">
        <f t="shared" si="5"/>
        <v>0.4</v>
      </c>
      <c r="X23" s="98">
        <f t="shared" si="6"/>
        <v>0.6</v>
      </c>
      <c r="Y23" s="97">
        <f t="shared" si="18"/>
        <v>2.1818181818181821</v>
      </c>
      <c r="Z23" s="96">
        <f t="shared" si="33"/>
        <v>3.6040404040404042</v>
      </c>
      <c r="AA23" s="96">
        <f t="shared" si="19"/>
        <v>0.8487218524211968</v>
      </c>
      <c r="AB23" s="96">
        <v>0</v>
      </c>
      <c r="AC23" s="96">
        <f t="shared" si="20"/>
        <v>7.2032878277726777E-3</v>
      </c>
      <c r="AD23" s="98">
        <f t="shared" si="21"/>
        <v>7.2032878277726777E-3</v>
      </c>
      <c r="AE23" s="97">
        <f t="shared" si="22"/>
        <v>0.19418074074074076</v>
      </c>
      <c r="AF23" s="96">
        <f t="shared" si="23"/>
        <v>0.8487218524211968</v>
      </c>
      <c r="AG23" s="96">
        <f t="shared" si="10"/>
        <v>3.1694466442199784E-3</v>
      </c>
      <c r="AH23" s="96">
        <f t="shared" si="11"/>
        <v>1.302013186813187</v>
      </c>
      <c r="AI23" s="98">
        <f t="shared" si="24"/>
        <v>1.305182633457407</v>
      </c>
      <c r="AJ23" s="97">
        <f t="shared" si="25"/>
        <v>0.85333333333333339</v>
      </c>
      <c r="AK23" s="96">
        <f t="shared" si="26"/>
        <v>2.0068666939162374</v>
      </c>
      <c r="AL23" s="96">
        <f t="shared" si="27"/>
        <v>5.5466666666666671E-2</v>
      </c>
      <c r="AM23" s="96">
        <f t="shared" si="14"/>
        <v>4.8104000000000005</v>
      </c>
      <c r="AN23" s="98">
        <f t="shared" si="28"/>
        <v>4.8658666666666672</v>
      </c>
      <c r="AO23" s="97">
        <f t="shared" si="15"/>
        <v>2.8813151311090713E-3</v>
      </c>
      <c r="AP23" s="96">
        <f t="shared" si="16"/>
        <v>0.29025000000000001</v>
      </c>
      <c r="AQ23" s="98">
        <f t="shared" si="29"/>
        <v>8.0999999999999996E-3</v>
      </c>
      <c r="AR23" s="97">
        <f t="shared" si="30"/>
        <v>6.4722806152551833</v>
      </c>
      <c r="AS23" s="96">
        <f t="shared" si="31"/>
        <v>10.24</v>
      </c>
      <c r="AT23" s="98">
        <f t="shared" si="32"/>
        <v>61.272307686437465</v>
      </c>
    </row>
    <row r="24" spans="17:46" x14ac:dyDescent="0.3">
      <c r="Q24" s="32">
        <v>17</v>
      </c>
      <c r="R24" s="97">
        <f t="shared" si="0"/>
        <v>12</v>
      </c>
      <c r="S24" s="96">
        <f t="shared" si="1"/>
        <v>0.90666666666666673</v>
      </c>
      <c r="T24" s="96">
        <f t="shared" si="2"/>
        <v>18</v>
      </c>
      <c r="U24" s="98">
        <f t="shared" si="3"/>
        <v>0.60444444444444445</v>
      </c>
      <c r="V24" s="97">
        <f t="shared" si="4"/>
        <v>2</v>
      </c>
      <c r="W24" s="96">
        <f t="shared" si="5"/>
        <v>0.4</v>
      </c>
      <c r="X24" s="98">
        <f t="shared" si="6"/>
        <v>0.6</v>
      </c>
      <c r="Y24" s="97">
        <f t="shared" si="18"/>
        <v>2.1818181818181821</v>
      </c>
      <c r="Z24" s="96">
        <f t="shared" si="33"/>
        <v>3.6929292929292932</v>
      </c>
      <c r="AA24" s="96">
        <f t="shared" si="19"/>
        <v>0.87295320681912059</v>
      </c>
      <c r="AB24" s="96">
        <v>0</v>
      </c>
      <c r="AC24" s="96">
        <f t="shared" si="20"/>
        <v>7.620473012957864E-3</v>
      </c>
      <c r="AD24" s="98">
        <f t="shared" si="21"/>
        <v>7.620473012957864E-3</v>
      </c>
      <c r="AE24" s="97">
        <f t="shared" si="22"/>
        <v>0.21921185185185188</v>
      </c>
      <c r="AF24" s="96">
        <f t="shared" si="23"/>
        <v>0.87295320681912059</v>
      </c>
      <c r="AG24" s="96">
        <f t="shared" si="10"/>
        <v>3.3530081257014603E-3</v>
      </c>
      <c r="AH24" s="96">
        <f t="shared" si="11"/>
        <v>1.383389010989011</v>
      </c>
      <c r="AI24" s="98">
        <f t="shared" si="24"/>
        <v>1.3867420191147124</v>
      </c>
      <c r="AJ24" s="97">
        <f t="shared" si="25"/>
        <v>0.90666666666666673</v>
      </c>
      <c r="AK24" s="96">
        <f t="shared" si="26"/>
        <v>2.0737217768925444</v>
      </c>
      <c r="AL24" s="96">
        <f t="shared" si="27"/>
        <v>5.8933333333333338E-2</v>
      </c>
      <c r="AM24" s="96">
        <f t="shared" si="14"/>
        <v>4.8104000000000005</v>
      </c>
      <c r="AN24" s="98">
        <f t="shared" si="28"/>
        <v>4.8693333333333335</v>
      </c>
      <c r="AO24" s="97">
        <f t="shared" si="15"/>
        <v>3.0481892051831454E-3</v>
      </c>
      <c r="AP24" s="96">
        <f t="shared" si="16"/>
        <v>0.29025000000000001</v>
      </c>
      <c r="AQ24" s="98">
        <f t="shared" si="29"/>
        <v>8.0999999999999996E-3</v>
      </c>
      <c r="AR24" s="97">
        <f t="shared" si="30"/>
        <v>6.5574735416532288</v>
      </c>
      <c r="AS24" s="96">
        <f t="shared" si="31"/>
        <v>10.88</v>
      </c>
      <c r="AT24" s="98">
        <f t="shared" si="32"/>
        <v>62.394359905468733</v>
      </c>
    </row>
    <row r="25" spans="17:46" x14ac:dyDescent="0.3">
      <c r="Q25" s="32">
        <v>18</v>
      </c>
      <c r="R25" s="97">
        <f t="shared" si="0"/>
        <v>12</v>
      </c>
      <c r="S25" s="96">
        <f t="shared" si="1"/>
        <v>0.96000000000000008</v>
      </c>
      <c r="T25" s="96">
        <f t="shared" si="2"/>
        <v>18</v>
      </c>
      <c r="U25" s="98">
        <f t="shared" si="3"/>
        <v>0.64000000000000012</v>
      </c>
      <c r="V25" s="97">
        <f t="shared" si="4"/>
        <v>2</v>
      </c>
      <c r="W25" s="96">
        <f t="shared" si="5"/>
        <v>0.4</v>
      </c>
      <c r="X25" s="98">
        <f t="shared" si="6"/>
        <v>0.6</v>
      </c>
      <c r="Y25" s="97">
        <f t="shared" si="18"/>
        <v>2.1818181818181821</v>
      </c>
      <c r="Z25" s="96">
        <f t="shared" si="33"/>
        <v>3.7818181818181822</v>
      </c>
      <c r="AA25" s="96">
        <f t="shared" si="19"/>
        <v>0.89793887034476527</v>
      </c>
      <c r="AB25" s="96">
        <v>0</v>
      </c>
      <c r="AC25" s="96">
        <f t="shared" si="20"/>
        <v>8.0629421487603322E-3</v>
      </c>
      <c r="AD25" s="98">
        <f t="shared" si="21"/>
        <v>8.0629421487603322E-3</v>
      </c>
      <c r="AE25" s="97">
        <f t="shared" si="22"/>
        <v>0.24576000000000009</v>
      </c>
      <c r="AF25" s="96">
        <f t="shared" si="23"/>
        <v>0.89793887034476527</v>
      </c>
      <c r="AG25" s="96">
        <f t="shared" si="10"/>
        <v>3.5476945454545462E-3</v>
      </c>
      <c r="AH25" s="96">
        <f t="shared" si="11"/>
        <v>1.4647648351648352</v>
      </c>
      <c r="AI25" s="98">
        <f t="shared" si="24"/>
        <v>1.4683125297102897</v>
      </c>
      <c r="AJ25" s="97">
        <f t="shared" si="25"/>
        <v>0.96000000000000008</v>
      </c>
      <c r="AK25" s="96">
        <f t="shared" si="26"/>
        <v>2.1407035222673727</v>
      </c>
      <c r="AL25" s="96">
        <f t="shared" si="27"/>
        <v>6.2400000000000004E-2</v>
      </c>
      <c r="AM25" s="96">
        <f t="shared" si="14"/>
        <v>4.8104000000000005</v>
      </c>
      <c r="AN25" s="98">
        <f t="shared" si="28"/>
        <v>4.8728000000000007</v>
      </c>
      <c r="AO25" s="97">
        <f t="shared" si="15"/>
        <v>3.2251768595041325E-3</v>
      </c>
      <c r="AP25" s="96">
        <f t="shared" si="16"/>
        <v>0.29025000000000001</v>
      </c>
      <c r="AQ25" s="98">
        <f t="shared" si="29"/>
        <v>8.0999999999999996E-3</v>
      </c>
      <c r="AR25" s="97">
        <f t="shared" si="30"/>
        <v>6.6426877065697951</v>
      </c>
      <c r="AS25" s="96">
        <f t="shared" si="31"/>
        <v>11.520000000000001</v>
      </c>
      <c r="AT25" s="98">
        <f t="shared" si="32"/>
        <v>63.426736098275768</v>
      </c>
    </row>
    <row r="26" spans="17:46" x14ac:dyDescent="0.3">
      <c r="Q26" s="32">
        <v>19</v>
      </c>
      <c r="R26" s="97">
        <f t="shared" si="0"/>
        <v>12</v>
      </c>
      <c r="S26" s="96">
        <f t="shared" si="1"/>
        <v>1.0133333333333334</v>
      </c>
      <c r="T26" s="96">
        <f t="shared" si="2"/>
        <v>18</v>
      </c>
      <c r="U26" s="98">
        <f t="shared" si="3"/>
        <v>0.67555555555555558</v>
      </c>
      <c r="V26" s="97">
        <f t="shared" si="4"/>
        <v>2</v>
      </c>
      <c r="W26" s="96">
        <f t="shared" si="5"/>
        <v>0.4</v>
      </c>
      <c r="X26" s="98">
        <f t="shared" si="6"/>
        <v>0.6</v>
      </c>
      <c r="Y26" s="97">
        <f t="shared" si="18"/>
        <v>2.1818181818181821</v>
      </c>
      <c r="Z26" s="96">
        <f t="shared" si="33"/>
        <v>3.8707070707070712</v>
      </c>
      <c r="AA26" s="96">
        <f t="shared" si="19"/>
        <v>0.9236176284144908</v>
      </c>
      <c r="AB26" s="96">
        <v>0</v>
      </c>
      <c r="AC26" s="96">
        <f t="shared" si="20"/>
        <v>8.5306952351800833E-3</v>
      </c>
      <c r="AD26" s="98">
        <f t="shared" si="21"/>
        <v>8.5306952351800833E-3</v>
      </c>
      <c r="AE26" s="97">
        <f t="shared" si="22"/>
        <v>0.27382518518518523</v>
      </c>
      <c r="AF26" s="96">
        <f t="shared" si="23"/>
        <v>0.9236176284144908</v>
      </c>
      <c r="AG26" s="96">
        <f t="shared" si="10"/>
        <v>3.753505903479237E-3</v>
      </c>
      <c r="AH26" s="96">
        <f t="shared" si="11"/>
        <v>1.5461406593406597</v>
      </c>
      <c r="AI26" s="98">
        <f t="shared" si="24"/>
        <v>1.5498941652441389</v>
      </c>
      <c r="AJ26" s="97">
        <f t="shared" si="25"/>
        <v>1.0133333333333334</v>
      </c>
      <c r="AK26" s="96">
        <f t="shared" si="26"/>
        <v>2.2078004017616673</v>
      </c>
      <c r="AL26" s="96">
        <f t="shared" si="27"/>
        <v>6.5866666666666671E-2</v>
      </c>
      <c r="AM26" s="96">
        <f t="shared" si="14"/>
        <v>4.8104000000000005</v>
      </c>
      <c r="AN26" s="98">
        <f t="shared" si="28"/>
        <v>4.876266666666667</v>
      </c>
      <c r="AO26" s="97">
        <f t="shared" si="15"/>
        <v>3.4122780940720335E-3</v>
      </c>
      <c r="AP26" s="96">
        <f t="shared" si="16"/>
        <v>0.29025000000000001</v>
      </c>
      <c r="AQ26" s="98">
        <f t="shared" si="29"/>
        <v>8.0999999999999996E-3</v>
      </c>
      <c r="AR26" s="97">
        <f t="shared" si="30"/>
        <v>6.7279231100048777</v>
      </c>
      <c r="AS26" s="96">
        <f t="shared" si="31"/>
        <v>12.16</v>
      </c>
      <c r="AT26" s="98">
        <f t="shared" si="32"/>
        <v>64.379762291381226</v>
      </c>
    </row>
    <row r="27" spans="17:46" x14ac:dyDescent="0.3">
      <c r="Q27" s="32">
        <v>20</v>
      </c>
      <c r="R27" s="97">
        <f t="shared" si="0"/>
        <v>12</v>
      </c>
      <c r="S27" s="96">
        <f t="shared" si="1"/>
        <v>1.0666666666666667</v>
      </c>
      <c r="T27" s="96">
        <f t="shared" si="2"/>
        <v>18</v>
      </c>
      <c r="U27" s="98">
        <f t="shared" si="3"/>
        <v>0.71111111111111114</v>
      </c>
      <c r="V27" s="97">
        <f t="shared" si="4"/>
        <v>2</v>
      </c>
      <c r="W27" s="96">
        <f t="shared" si="5"/>
        <v>0.4</v>
      </c>
      <c r="X27" s="98">
        <f t="shared" si="6"/>
        <v>0.6</v>
      </c>
      <c r="Y27" s="97">
        <f t="shared" si="18"/>
        <v>2.1818181818181821</v>
      </c>
      <c r="Z27" s="96">
        <f t="shared" si="33"/>
        <v>3.9595959595959598</v>
      </c>
      <c r="AA27" s="96">
        <f t="shared" si="19"/>
        <v>0.949933275141845</v>
      </c>
      <c r="AB27" s="96">
        <v>0</v>
      </c>
      <c r="AC27" s="96">
        <f t="shared" si="20"/>
        <v>9.0237322722171217E-3</v>
      </c>
      <c r="AD27" s="98">
        <f t="shared" si="21"/>
        <v>9.0237322722171217E-3</v>
      </c>
      <c r="AE27" s="97">
        <f t="shared" si="22"/>
        <v>0.30340740740740746</v>
      </c>
      <c r="AF27" s="96">
        <f t="shared" si="23"/>
        <v>0.949933275141845</v>
      </c>
      <c r="AG27" s="96">
        <f t="shared" si="10"/>
        <v>3.970442199775534E-3</v>
      </c>
      <c r="AH27" s="96">
        <f t="shared" si="11"/>
        <v>1.6275164835164835</v>
      </c>
      <c r="AI27" s="98">
        <f t="shared" si="24"/>
        <v>1.631486925716259</v>
      </c>
      <c r="AJ27" s="97">
        <f t="shared" si="25"/>
        <v>1.0666666666666667</v>
      </c>
      <c r="AK27" s="96">
        <f t="shared" si="26"/>
        <v>2.2750022284102283</v>
      </c>
      <c r="AL27" s="96">
        <f t="shared" si="27"/>
        <v>6.933333333333333E-2</v>
      </c>
      <c r="AM27" s="96">
        <f t="shared" si="14"/>
        <v>4.8104000000000005</v>
      </c>
      <c r="AN27" s="98">
        <f t="shared" si="28"/>
        <v>4.8797333333333341</v>
      </c>
      <c r="AO27" s="97">
        <f t="shared" si="15"/>
        <v>3.6094929088868488E-3</v>
      </c>
      <c r="AP27" s="96">
        <f t="shared" si="16"/>
        <v>0.29025000000000001</v>
      </c>
      <c r="AQ27" s="98">
        <f t="shared" si="29"/>
        <v>8.0999999999999996E-3</v>
      </c>
      <c r="AR27" s="97">
        <f t="shared" si="30"/>
        <v>6.8131797519584802</v>
      </c>
      <c r="AS27" s="96">
        <f t="shared" si="31"/>
        <v>12.8</v>
      </c>
      <c r="AT27" s="98">
        <f t="shared" si="32"/>
        <v>65.262237749704269</v>
      </c>
    </row>
    <row r="28" spans="17:46" x14ac:dyDescent="0.3">
      <c r="Q28" s="32">
        <v>21</v>
      </c>
      <c r="R28" s="97">
        <f t="shared" si="0"/>
        <v>12</v>
      </c>
      <c r="S28" s="96">
        <f t="shared" si="1"/>
        <v>1.1200000000000001</v>
      </c>
      <c r="T28" s="96">
        <f t="shared" si="2"/>
        <v>18</v>
      </c>
      <c r="U28" s="98">
        <f t="shared" si="3"/>
        <v>0.7466666666666667</v>
      </c>
      <c r="V28" s="97">
        <f t="shared" si="4"/>
        <v>2</v>
      </c>
      <c r="W28" s="96">
        <f t="shared" si="5"/>
        <v>0.4</v>
      </c>
      <c r="X28" s="98">
        <f t="shared" si="6"/>
        <v>0.6</v>
      </c>
      <c r="Y28" s="97">
        <f t="shared" si="18"/>
        <v>2.1818181818181821</v>
      </c>
      <c r="Z28" s="96">
        <f t="shared" si="33"/>
        <v>4.0484848484848488</v>
      </c>
      <c r="AA28" s="96">
        <f t="shared" si="19"/>
        <v>0.97683433907042005</v>
      </c>
      <c r="AB28" s="96">
        <v>0</v>
      </c>
      <c r="AC28" s="96">
        <f t="shared" si="20"/>
        <v>9.5420532598714438E-3</v>
      </c>
      <c r="AD28" s="98">
        <f t="shared" si="21"/>
        <v>9.5420532598714438E-3</v>
      </c>
      <c r="AE28" s="97">
        <f t="shared" si="22"/>
        <v>0.33450666666666673</v>
      </c>
      <c r="AF28" s="96">
        <f t="shared" si="23"/>
        <v>0.97683433907042005</v>
      </c>
      <c r="AG28" s="96">
        <f t="shared" si="10"/>
        <v>4.1985034343434355E-3</v>
      </c>
      <c r="AH28" s="96">
        <f t="shared" si="11"/>
        <v>1.7088923076923079</v>
      </c>
      <c r="AI28" s="98">
        <f t="shared" si="24"/>
        <v>1.7130908111266514</v>
      </c>
      <c r="AJ28" s="97">
        <f t="shared" si="25"/>
        <v>1.1200000000000001</v>
      </c>
      <c r="AK28" s="96">
        <f t="shared" si="26"/>
        <v>2.3422999692621591</v>
      </c>
      <c r="AL28" s="96">
        <f t="shared" si="27"/>
        <v>7.2800000000000004E-2</v>
      </c>
      <c r="AM28" s="96">
        <f t="shared" si="14"/>
        <v>4.8104000000000005</v>
      </c>
      <c r="AN28" s="98">
        <f t="shared" si="28"/>
        <v>4.8832000000000004</v>
      </c>
      <c r="AO28" s="97">
        <f t="shared" si="15"/>
        <v>3.8168213039485774E-3</v>
      </c>
      <c r="AP28" s="96">
        <f t="shared" si="16"/>
        <v>0.29025000000000001</v>
      </c>
      <c r="AQ28" s="98">
        <f t="shared" si="29"/>
        <v>8.0999999999999996E-3</v>
      </c>
      <c r="AR28" s="97">
        <f t="shared" si="30"/>
        <v>6.8984576324306008</v>
      </c>
      <c r="AS28" s="96">
        <f t="shared" si="31"/>
        <v>13.440000000000001</v>
      </c>
      <c r="AT28" s="98">
        <f t="shared" si="32"/>
        <v>66.08170709350793</v>
      </c>
    </row>
    <row r="29" spans="17:46" x14ac:dyDescent="0.3">
      <c r="Q29" s="32">
        <v>22</v>
      </c>
      <c r="R29" s="97">
        <f t="shared" si="0"/>
        <v>12</v>
      </c>
      <c r="S29" s="96">
        <f t="shared" si="1"/>
        <v>1.1733333333333333</v>
      </c>
      <c r="T29" s="96">
        <f t="shared" si="2"/>
        <v>18</v>
      </c>
      <c r="U29" s="98">
        <f t="shared" si="3"/>
        <v>0.78222222222222226</v>
      </c>
      <c r="V29" s="97">
        <f t="shared" si="4"/>
        <v>2</v>
      </c>
      <c r="W29" s="96">
        <f t="shared" si="5"/>
        <v>0.4</v>
      </c>
      <c r="X29" s="98">
        <f t="shared" si="6"/>
        <v>0.6</v>
      </c>
      <c r="Y29" s="97">
        <f t="shared" si="18"/>
        <v>2.1818181818181821</v>
      </c>
      <c r="Z29" s="96">
        <f t="shared" si="33"/>
        <v>4.1373737373737374</v>
      </c>
      <c r="AA29" s="96">
        <f t="shared" si="19"/>
        <v>1.0042737773208583</v>
      </c>
      <c r="AB29" s="96">
        <v>0</v>
      </c>
      <c r="AC29" s="96">
        <f t="shared" si="20"/>
        <v>1.0085658198143048E-2</v>
      </c>
      <c r="AD29" s="98">
        <f t="shared" si="21"/>
        <v>1.0085658198143048E-2</v>
      </c>
      <c r="AE29" s="97">
        <f t="shared" si="22"/>
        <v>0.36712296296296298</v>
      </c>
      <c r="AF29" s="96">
        <f t="shared" si="23"/>
        <v>1.0042737773208583</v>
      </c>
      <c r="AG29" s="96">
        <f t="shared" si="10"/>
        <v>4.4376896071829418E-3</v>
      </c>
      <c r="AH29" s="96">
        <f t="shared" si="11"/>
        <v>1.7902681318681322</v>
      </c>
      <c r="AI29" s="98">
        <f t="shared" si="24"/>
        <v>1.7947058214753151</v>
      </c>
      <c r="AJ29" s="97">
        <f t="shared" si="25"/>
        <v>1.1733333333333333</v>
      </c>
      <c r="AK29" s="96">
        <f t="shared" si="26"/>
        <v>2.4096855882502592</v>
      </c>
      <c r="AL29" s="96">
        <f t="shared" si="27"/>
        <v>7.6266666666666663E-2</v>
      </c>
      <c r="AM29" s="96">
        <f t="shared" si="14"/>
        <v>4.8104000000000005</v>
      </c>
      <c r="AN29" s="98">
        <f t="shared" si="28"/>
        <v>4.8866666666666667</v>
      </c>
      <c r="AO29" s="97">
        <f t="shared" si="15"/>
        <v>4.0342632792572195E-3</v>
      </c>
      <c r="AP29" s="96">
        <f t="shared" si="16"/>
        <v>0.29025000000000001</v>
      </c>
      <c r="AQ29" s="98">
        <f t="shared" si="29"/>
        <v>8.0999999999999996E-3</v>
      </c>
      <c r="AR29" s="97">
        <f t="shared" si="30"/>
        <v>6.9837567514212386</v>
      </c>
      <c r="AS29" s="96">
        <f t="shared" si="31"/>
        <v>14.08</v>
      </c>
      <c r="AT29" s="98">
        <f t="shared" si="32"/>
        <v>66.84467621878504</v>
      </c>
    </row>
    <row r="30" spans="17:46" x14ac:dyDescent="0.3">
      <c r="Q30" s="32">
        <v>23</v>
      </c>
      <c r="R30" s="97">
        <f t="shared" si="0"/>
        <v>12</v>
      </c>
      <c r="S30" s="96">
        <f t="shared" si="1"/>
        <v>1.2266666666666668</v>
      </c>
      <c r="T30" s="96">
        <f t="shared" si="2"/>
        <v>18</v>
      </c>
      <c r="U30" s="98">
        <f t="shared" si="3"/>
        <v>0.81777777777777794</v>
      </c>
      <c r="V30" s="97">
        <f t="shared" si="4"/>
        <v>2</v>
      </c>
      <c r="W30" s="96">
        <f t="shared" si="5"/>
        <v>0.4</v>
      </c>
      <c r="X30" s="98">
        <f t="shared" si="6"/>
        <v>0.6</v>
      </c>
      <c r="Y30" s="97">
        <f t="shared" si="18"/>
        <v>2.1818181818181821</v>
      </c>
      <c r="Z30" s="96">
        <f t="shared" si="33"/>
        <v>4.2262626262626268</v>
      </c>
      <c r="AA30" s="96">
        <f t="shared" si="19"/>
        <v>1.032208655603698</v>
      </c>
      <c r="AB30" s="96">
        <v>0</v>
      </c>
      <c r="AC30" s="96">
        <f t="shared" si="20"/>
        <v>1.0654547087031936E-2</v>
      </c>
      <c r="AD30" s="98">
        <f t="shared" si="21"/>
        <v>1.0654547087031936E-2</v>
      </c>
      <c r="AE30" s="97">
        <f t="shared" si="22"/>
        <v>0.40125629629629644</v>
      </c>
      <c r="AF30" s="96">
        <f t="shared" si="23"/>
        <v>1.032208655603698</v>
      </c>
      <c r="AG30" s="96">
        <f t="shared" si="10"/>
        <v>4.6880007182940522E-3</v>
      </c>
      <c r="AH30" s="96">
        <f t="shared" si="11"/>
        <v>1.8716439560439566</v>
      </c>
      <c r="AI30" s="98">
        <f t="shared" si="24"/>
        <v>1.8763319567622507</v>
      </c>
      <c r="AJ30" s="97">
        <f t="shared" si="25"/>
        <v>1.2266666666666668</v>
      </c>
      <c r="AK30" s="96">
        <f t="shared" si="26"/>
        <v>2.4771519137747626</v>
      </c>
      <c r="AL30" s="96">
        <f t="shared" si="27"/>
        <v>7.973333333333335E-2</v>
      </c>
      <c r="AM30" s="96">
        <f t="shared" si="14"/>
        <v>4.8104000000000005</v>
      </c>
      <c r="AN30" s="98">
        <f t="shared" si="28"/>
        <v>4.8901333333333339</v>
      </c>
      <c r="AO30" s="97">
        <f t="shared" si="15"/>
        <v>4.2618188348127741E-3</v>
      </c>
      <c r="AP30" s="96">
        <f t="shared" si="16"/>
        <v>0.29025000000000001</v>
      </c>
      <c r="AQ30" s="98">
        <f t="shared" si="29"/>
        <v>8.0999999999999996E-3</v>
      </c>
      <c r="AR30" s="97">
        <f t="shared" si="30"/>
        <v>7.0690771089303981</v>
      </c>
      <c r="AS30" s="96">
        <f t="shared" si="31"/>
        <v>14.720000000000002</v>
      </c>
      <c r="AT30" s="98">
        <f t="shared" si="32"/>
        <v>67.55678511031067</v>
      </c>
    </row>
    <row r="31" spans="17:46" x14ac:dyDescent="0.3">
      <c r="Q31" s="32">
        <v>24</v>
      </c>
      <c r="R31" s="97">
        <f t="shared" si="0"/>
        <v>12</v>
      </c>
      <c r="S31" s="96">
        <f t="shared" si="1"/>
        <v>1.28</v>
      </c>
      <c r="T31" s="96">
        <f t="shared" si="2"/>
        <v>18</v>
      </c>
      <c r="U31" s="98">
        <f t="shared" si="3"/>
        <v>0.85333333333333328</v>
      </c>
      <c r="V31" s="97">
        <f t="shared" si="4"/>
        <v>2</v>
      </c>
      <c r="W31" s="96">
        <f t="shared" si="5"/>
        <v>0.4</v>
      </c>
      <c r="X31" s="98">
        <f t="shared" si="6"/>
        <v>0.6</v>
      </c>
      <c r="Y31" s="97">
        <f t="shared" si="18"/>
        <v>2.1818181818181821</v>
      </c>
      <c r="Z31" s="96">
        <f t="shared" si="33"/>
        <v>4.3151515151515154</v>
      </c>
      <c r="AA31" s="96">
        <f t="shared" si="19"/>
        <v>1.0605998268215071</v>
      </c>
      <c r="AB31" s="96">
        <v>0</v>
      </c>
      <c r="AC31" s="96">
        <f t="shared" si="20"/>
        <v>1.1248719926538109E-2</v>
      </c>
      <c r="AD31" s="98">
        <f t="shared" si="21"/>
        <v>1.1248719926538109E-2</v>
      </c>
      <c r="AE31" s="97">
        <f t="shared" si="22"/>
        <v>0.43690666666666672</v>
      </c>
      <c r="AF31" s="96">
        <f t="shared" si="23"/>
        <v>1.0605998268215071</v>
      </c>
      <c r="AG31" s="96">
        <f t="shared" si="10"/>
        <v>4.9494367676767683E-3</v>
      </c>
      <c r="AH31" s="96">
        <f t="shared" si="11"/>
        <v>1.9530197802197804</v>
      </c>
      <c r="AI31" s="98">
        <f t="shared" si="24"/>
        <v>1.9579692169874572</v>
      </c>
      <c r="AJ31" s="97">
        <f t="shared" si="25"/>
        <v>1.28</v>
      </c>
      <c r="AK31" s="96">
        <f t="shared" si="26"/>
        <v>2.5446925266319349</v>
      </c>
      <c r="AL31" s="96">
        <f t="shared" si="27"/>
        <v>8.320000000000001E-2</v>
      </c>
      <c r="AM31" s="96">
        <f t="shared" si="14"/>
        <v>4.8104000000000005</v>
      </c>
      <c r="AN31" s="98">
        <f t="shared" si="28"/>
        <v>4.8936000000000002</v>
      </c>
      <c r="AO31" s="97">
        <f t="shared" si="15"/>
        <v>4.4994879706152435E-3</v>
      </c>
      <c r="AP31" s="96">
        <f t="shared" si="16"/>
        <v>0.29025000000000001</v>
      </c>
      <c r="AQ31" s="98">
        <f t="shared" si="29"/>
        <v>8.0999999999999996E-3</v>
      </c>
      <c r="AR31" s="97">
        <f t="shared" si="30"/>
        <v>7.154418704958073</v>
      </c>
      <c r="AS31" s="96">
        <f t="shared" si="31"/>
        <v>15.36</v>
      </c>
      <c r="AT31" s="98">
        <f t="shared" si="32"/>
        <v>68.222947264534341</v>
      </c>
    </row>
    <row r="32" spans="17:46" x14ac:dyDescent="0.3">
      <c r="Q32" s="32">
        <v>25</v>
      </c>
      <c r="R32" s="97">
        <f t="shared" si="0"/>
        <v>12</v>
      </c>
      <c r="S32" s="96">
        <f t="shared" si="1"/>
        <v>1.3333333333333335</v>
      </c>
      <c r="T32" s="96">
        <f t="shared" si="2"/>
        <v>18</v>
      </c>
      <c r="U32" s="98">
        <f t="shared" si="3"/>
        <v>0.88888888888888884</v>
      </c>
      <c r="V32" s="97">
        <f t="shared" si="4"/>
        <v>2</v>
      </c>
      <c r="W32" s="96">
        <f t="shared" si="5"/>
        <v>0.4</v>
      </c>
      <c r="X32" s="98">
        <f t="shared" si="6"/>
        <v>0.6</v>
      </c>
      <c r="Y32" s="97">
        <f t="shared" si="18"/>
        <v>2.1818181818181821</v>
      </c>
      <c r="Z32" s="96">
        <f t="shared" si="33"/>
        <v>4.4040404040404049</v>
      </c>
      <c r="AA32" s="96">
        <f t="shared" si="19"/>
        <v>1.0894116171889101</v>
      </c>
      <c r="AB32" s="96">
        <v>0</v>
      </c>
      <c r="AC32" s="96">
        <f t="shared" si="20"/>
        <v>1.1868176716661565E-2</v>
      </c>
      <c r="AD32" s="98">
        <f t="shared" si="21"/>
        <v>1.1868176716661565E-2</v>
      </c>
      <c r="AE32" s="97">
        <f t="shared" si="22"/>
        <v>0.47407407407407415</v>
      </c>
      <c r="AF32" s="96">
        <f t="shared" si="23"/>
        <v>1.0894116171889101</v>
      </c>
      <c r="AG32" s="96">
        <f t="shared" si="10"/>
        <v>5.2219977553310893E-3</v>
      </c>
      <c r="AH32" s="96">
        <f t="shared" si="11"/>
        <v>2.0343956043956046</v>
      </c>
      <c r="AI32" s="98">
        <f t="shared" si="24"/>
        <v>2.0396176021509356</v>
      </c>
      <c r="AJ32" s="97">
        <f t="shared" si="25"/>
        <v>1.3333333333333335</v>
      </c>
      <c r="AK32" s="96">
        <f t="shared" si="26"/>
        <v>2.6123016647692805</v>
      </c>
      <c r="AL32" s="96">
        <f t="shared" si="27"/>
        <v>8.6666666666666684E-2</v>
      </c>
      <c r="AM32" s="96">
        <f t="shared" si="14"/>
        <v>4.8104000000000005</v>
      </c>
      <c r="AN32" s="98">
        <f t="shared" si="28"/>
        <v>4.8970666666666673</v>
      </c>
      <c r="AO32" s="97">
        <f t="shared" si="15"/>
        <v>4.7472706866646258E-3</v>
      </c>
      <c r="AP32" s="96">
        <f t="shared" si="16"/>
        <v>0.29025000000000001</v>
      </c>
      <c r="AQ32" s="98">
        <f t="shared" si="29"/>
        <v>8.0999999999999996E-3</v>
      </c>
      <c r="AR32" s="97">
        <f t="shared" si="30"/>
        <v>7.2397815395042668</v>
      </c>
      <c r="AS32" s="96">
        <f t="shared" si="31"/>
        <v>16</v>
      </c>
      <c r="AT32" s="98">
        <f t="shared" si="32"/>
        <v>68.847463014238386</v>
      </c>
    </row>
    <row r="33" spans="17:46" x14ac:dyDescent="0.3">
      <c r="Q33" s="32">
        <v>26</v>
      </c>
      <c r="R33" s="97">
        <f t="shared" si="0"/>
        <v>12</v>
      </c>
      <c r="S33" s="96">
        <f t="shared" si="1"/>
        <v>1.3866666666666667</v>
      </c>
      <c r="T33" s="96">
        <f t="shared" si="2"/>
        <v>18</v>
      </c>
      <c r="U33" s="98">
        <f t="shared" si="3"/>
        <v>0.92444444444444451</v>
      </c>
      <c r="V33" s="97">
        <f t="shared" si="4"/>
        <v>2</v>
      </c>
      <c r="W33" s="96">
        <f t="shared" si="5"/>
        <v>0.4</v>
      </c>
      <c r="X33" s="98">
        <f t="shared" si="6"/>
        <v>0.6</v>
      </c>
      <c r="Y33" s="97">
        <f t="shared" si="18"/>
        <v>2.1818181818181821</v>
      </c>
      <c r="Z33" s="96">
        <f t="shared" si="33"/>
        <v>4.4929292929292934</v>
      </c>
      <c r="AA33" s="96">
        <f t="shared" si="19"/>
        <v>1.1186115258391676</v>
      </c>
      <c r="AB33" s="96">
        <v>0</v>
      </c>
      <c r="AC33" s="96">
        <f t="shared" si="20"/>
        <v>1.2512917457402307E-2</v>
      </c>
      <c r="AD33" s="98">
        <f t="shared" si="21"/>
        <v>1.2512917457402307E-2</v>
      </c>
      <c r="AE33" s="97">
        <f t="shared" si="22"/>
        <v>0.51275851851851861</v>
      </c>
      <c r="AF33" s="96">
        <f t="shared" si="23"/>
        <v>1.1186115258391676</v>
      </c>
      <c r="AG33" s="96">
        <f t="shared" si="10"/>
        <v>5.5056836812570151E-3</v>
      </c>
      <c r="AH33" s="96">
        <f t="shared" si="11"/>
        <v>2.1157714285714291</v>
      </c>
      <c r="AI33" s="98">
        <f t="shared" si="24"/>
        <v>2.1212771122526859</v>
      </c>
      <c r="AJ33" s="97">
        <f t="shared" si="25"/>
        <v>1.3866666666666667</v>
      </c>
      <c r="AK33" s="96">
        <f t="shared" si="26"/>
        <v>2.6799741420203604</v>
      </c>
      <c r="AL33" s="96">
        <f t="shared" si="27"/>
        <v>9.0133333333333343E-2</v>
      </c>
      <c r="AM33" s="96">
        <f t="shared" si="14"/>
        <v>4.8104000000000005</v>
      </c>
      <c r="AN33" s="98">
        <f t="shared" si="28"/>
        <v>4.9005333333333336</v>
      </c>
      <c r="AO33" s="97">
        <f t="shared" si="15"/>
        <v>5.0051669829609229E-3</v>
      </c>
      <c r="AP33" s="96">
        <f t="shared" si="16"/>
        <v>0.29025000000000001</v>
      </c>
      <c r="AQ33" s="98">
        <f t="shared" si="29"/>
        <v>8.0999999999999996E-3</v>
      </c>
      <c r="AR33" s="97">
        <f t="shared" si="30"/>
        <v>7.3251656125689797</v>
      </c>
      <c r="AS33" s="96">
        <f t="shared" si="31"/>
        <v>16.64</v>
      </c>
      <c r="AT33" s="98">
        <f t="shared" si="32"/>
        <v>69.43411228200668</v>
      </c>
    </row>
    <row r="34" spans="17:46" x14ac:dyDescent="0.3">
      <c r="Q34" s="32">
        <v>27</v>
      </c>
      <c r="R34" s="97">
        <f t="shared" si="0"/>
        <v>12</v>
      </c>
      <c r="S34" s="96">
        <f t="shared" si="1"/>
        <v>1.4400000000000002</v>
      </c>
      <c r="T34" s="96">
        <f t="shared" si="2"/>
        <v>18</v>
      </c>
      <c r="U34" s="98">
        <f t="shared" si="3"/>
        <v>0.96000000000000008</v>
      </c>
      <c r="V34" s="97">
        <f t="shared" si="4"/>
        <v>2</v>
      </c>
      <c r="W34" s="96">
        <f t="shared" si="5"/>
        <v>0.4</v>
      </c>
      <c r="X34" s="98">
        <f t="shared" si="6"/>
        <v>0.6</v>
      </c>
      <c r="Y34" s="97">
        <f t="shared" si="18"/>
        <v>2.1818181818181821</v>
      </c>
      <c r="Z34" s="96">
        <f t="shared" si="33"/>
        <v>4.581818181818182</v>
      </c>
      <c r="AA34" s="96">
        <f t="shared" si="19"/>
        <v>1.1481699416358335</v>
      </c>
      <c r="AB34" s="96">
        <v>0</v>
      </c>
      <c r="AC34" s="96">
        <f t="shared" si="20"/>
        <v>1.3182942148760333E-2</v>
      </c>
      <c r="AD34" s="98">
        <f t="shared" si="21"/>
        <v>1.3182942148760333E-2</v>
      </c>
      <c r="AE34" s="97">
        <f t="shared" si="22"/>
        <v>0.55296000000000012</v>
      </c>
      <c r="AF34" s="96">
        <f t="shared" si="23"/>
        <v>1.1481699416358335</v>
      </c>
      <c r="AG34" s="96">
        <f t="shared" si="10"/>
        <v>5.8004945454545468E-3</v>
      </c>
      <c r="AH34" s="96">
        <f t="shared" si="11"/>
        <v>2.1971472527472535</v>
      </c>
      <c r="AI34" s="98">
        <f t="shared" si="24"/>
        <v>2.2029477472927081</v>
      </c>
      <c r="AJ34" s="97">
        <f t="shared" si="25"/>
        <v>1.4400000000000002</v>
      </c>
      <c r="AK34" s="96">
        <f t="shared" si="26"/>
        <v>2.7477052785043492</v>
      </c>
      <c r="AL34" s="96">
        <f t="shared" si="27"/>
        <v>9.3600000000000017E-2</v>
      </c>
      <c r="AM34" s="96">
        <f t="shared" si="14"/>
        <v>4.8104000000000005</v>
      </c>
      <c r="AN34" s="98">
        <f t="shared" si="28"/>
        <v>4.9040000000000008</v>
      </c>
      <c r="AO34" s="97">
        <f t="shared" si="15"/>
        <v>5.2731768595041329E-3</v>
      </c>
      <c r="AP34" s="96">
        <f t="shared" si="16"/>
        <v>0.29025000000000001</v>
      </c>
      <c r="AQ34" s="98">
        <f t="shared" si="29"/>
        <v>8.0999999999999996E-3</v>
      </c>
      <c r="AR34" s="97">
        <f t="shared" si="30"/>
        <v>7.4105709241522133</v>
      </c>
      <c r="AS34" s="96">
        <f t="shared" si="31"/>
        <v>17.28</v>
      </c>
      <c r="AT34" s="98">
        <f t="shared" si="32"/>
        <v>69.986230991105899</v>
      </c>
    </row>
    <row r="35" spans="17:46" x14ac:dyDescent="0.3">
      <c r="Q35" s="32">
        <v>28</v>
      </c>
      <c r="R35" s="97">
        <f t="shared" si="0"/>
        <v>12</v>
      </c>
      <c r="S35" s="96">
        <f t="shared" si="1"/>
        <v>1.4933333333333334</v>
      </c>
      <c r="T35" s="96">
        <f t="shared" si="2"/>
        <v>18</v>
      </c>
      <c r="U35" s="98">
        <f t="shared" si="3"/>
        <v>0.99555555555555564</v>
      </c>
      <c r="V35" s="97">
        <f t="shared" si="4"/>
        <v>2</v>
      </c>
      <c r="W35" s="96">
        <f t="shared" si="5"/>
        <v>0.4</v>
      </c>
      <c r="X35" s="98">
        <f t="shared" si="6"/>
        <v>0.6</v>
      </c>
      <c r="Y35" s="97">
        <f t="shared" si="18"/>
        <v>2.1818181818181821</v>
      </c>
      <c r="Z35" s="96">
        <f t="shared" si="33"/>
        <v>4.6707070707070706</v>
      </c>
      <c r="AA35" s="96">
        <f t="shared" si="19"/>
        <v>1.1780598792394061</v>
      </c>
      <c r="AB35" s="96">
        <v>0</v>
      </c>
      <c r="AC35" s="96">
        <f t="shared" si="20"/>
        <v>1.3878250790735642E-2</v>
      </c>
      <c r="AD35" s="98">
        <f t="shared" si="21"/>
        <v>1.3878250790735642E-2</v>
      </c>
      <c r="AE35" s="97">
        <f t="shared" si="22"/>
        <v>0.59467851851851861</v>
      </c>
      <c r="AF35" s="96">
        <f t="shared" si="23"/>
        <v>1.1780598792394061</v>
      </c>
      <c r="AG35" s="96">
        <f t="shared" si="10"/>
        <v>6.1064303479236833E-3</v>
      </c>
      <c r="AH35" s="96">
        <f t="shared" si="11"/>
        <v>2.2785230769230775</v>
      </c>
      <c r="AI35" s="98">
        <f t="shared" si="24"/>
        <v>2.284629507271001</v>
      </c>
      <c r="AJ35" s="97">
        <f t="shared" si="25"/>
        <v>1.4933333333333334</v>
      </c>
      <c r="AK35" s="96">
        <f t="shared" si="26"/>
        <v>2.8154908407993515</v>
      </c>
      <c r="AL35" s="96">
        <f t="shared" si="27"/>
        <v>9.7066666666666676E-2</v>
      </c>
      <c r="AM35" s="96">
        <f t="shared" si="14"/>
        <v>4.8104000000000005</v>
      </c>
      <c r="AN35" s="98">
        <f t="shared" si="28"/>
        <v>4.9074666666666671</v>
      </c>
      <c r="AO35" s="97">
        <f t="shared" si="15"/>
        <v>5.5513003162942567E-3</v>
      </c>
      <c r="AP35" s="96">
        <f t="shared" si="16"/>
        <v>0.29025000000000001</v>
      </c>
      <c r="AQ35" s="98">
        <f t="shared" si="29"/>
        <v>8.0999999999999996E-3</v>
      </c>
      <c r="AR35" s="97">
        <f t="shared" si="30"/>
        <v>7.4959974742539623</v>
      </c>
      <c r="AS35" s="96">
        <f t="shared" si="31"/>
        <v>17.920000000000002</v>
      </c>
      <c r="AT35" s="98">
        <f t="shared" si="32"/>
        <v>70.506774397316889</v>
      </c>
    </row>
    <row r="36" spans="17:46" x14ac:dyDescent="0.3">
      <c r="Q36" s="32">
        <v>29</v>
      </c>
      <c r="R36" s="97">
        <f t="shared" si="0"/>
        <v>12</v>
      </c>
      <c r="S36" s="96">
        <f t="shared" si="1"/>
        <v>1.5466666666666669</v>
      </c>
      <c r="T36" s="96">
        <f t="shared" si="2"/>
        <v>18</v>
      </c>
      <c r="U36" s="98">
        <f t="shared" si="3"/>
        <v>1.0311111111111113</v>
      </c>
      <c r="V36" s="97">
        <f t="shared" si="4"/>
        <v>2</v>
      </c>
      <c r="W36" s="96">
        <f t="shared" si="5"/>
        <v>0.4</v>
      </c>
      <c r="X36" s="98">
        <f t="shared" si="6"/>
        <v>0.6</v>
      </c>
      <c r="Y36" s="97">
        <f t="shared" si="18"/>
        <v>2.1818181818181821</v>
      </c>
      <c r="Z36" s="96">
        <f t="shared" si="33"/>
        <v>4.7595959595959609</v>
      </c>
      <c r="AA36" s="96">
        <f t="shared" si="19"/>
        <v>1.2082567352731055</v>
      </c>
      <c r="AB36" s="96">
        <v>0</v>
      </c>
      <c r="AC36" s="96">
        <f t="shared" si="20"/>
        <v>1.4598843383328232E-2</v>
      </c>
      <c r="AD36" s="98">
        <f t="shared" si="21"/>
        <v>1.4598843383328232E-2</v>
      </c>
      <c r="AE36" s="97">
        <f t="shared" si="22"/>
        <v>0.6379140740740743</v>
      </c>
      <c r="AF36" s="96">
        <f t="shared" si="23"/>
        <v>1.2082567352731055</v>
      </c>
      <c r="AG36" s="96">
        <f t="shared" si="10"/>
        <v>6.4234910886644229E-3</v>
      </c>
      <c r="AH36" s="96">
        <f t="shared" si="11"/>
        <v>2.359898901098902</v>
      </c>
      <c r="AI36" s="98">
        <f t="shared" si="24"/>
        <v>2.3663223921875662</v>
      </c>
      <c r="AJ36" s="97">
        <f t="shared" si="25"/>
        <v>1.5466666666666669</v>
      </c>
      <c r="AK36" s="96">
        <f t="shared" si="26"/>
        <v>2.8833269903378809</v>
      </c>
      <c r="AL36" s="96">
        <f t="shared" si="27"/>
        <v>0.10053333333333335</v>
      </c>
      <c r="AM36" s="96">
        <f t="shared" si="14"/>
        <v>4.8104000000000005</v>
      </c>
      <c r="AN36" s="98">
        <f t="shared" si="28"/>
        <v>4.9109333333333334</v>
      </c>
      <c r="AO36" s="97">
        <f t="shared" si="15"/>
        <v>5.8395373533312936E-3</v>
      </c>
      <c r="AP36" s="96">
        <f t="shared" si="16"/>
        <v>0.29025000000000001</v>
      </c>
      <c r="AQ36" s="98">
        <f t="shared" si="29"/>
        <v>8.0999999999999996E-3</v>
      </c>
      <c r="AR36" s="97">
        <f t="shared" si="30"/>
        <v>7.5814452628742313</v>
      </c>
      <c r="AS36" s="96">
        <f t="shared" si="31"/>
        <v>18.560000000000002</v>
      </c>
      <c r="AT36" s="98">
        <f t="shared" si="32"/>
        <v>70.998369881097162</v>
      </c>
    </row>
    <row r="37" spans="17:46" x14ac:dyDescent="0.3">
      <c r="Q37" s="32">
        <v>30</v>
      </c>
      <c r="R37" s="97">
        <f t="shared" si="0"/>
        <v>12</v>
      </c>
      <c r="S37" s="96">
        <f t="shared" si="1"/>
        <v>1.6</v>
      </c>
      <c r="T37" s="96">
        <f t="shared" si="2"/>
        <v>18</v>
      </c>
      <c r="U37" s="98">
        <f t="shared" si="3"/>
        <v>1.0666666666666669</v>
      </c>
      <c r="V37" s="97">
        <f t="shared" si="4"/>
        <v>2</v>
      </c>
      <c r="W37" s="96">
        <f t="shared" si="5"/>
        <v>0.4</v>
      </c>
      <c r="X37" s="98">
        <f t="shared" si="6"/>
        <v>0.6</v>
      </c>
      <c r="Y37" s="97">
        <f t="shared" si="18"/>
        <v>2.1818181818181821</v>
      </c>
      <c r="Z37" s="96">
        <f t="shared" si="33"/>
        <v>4.8484848484848495</v>
      </c>
      <c r="AA37" s="96">
        <f t="shared" si="19"/>
        <v>1.2387380645858153</v>
      </c>
      <c r="AB37" s="96">
        <v>0</v>
      </c>
      <c r="AC37" s="96">
        <f t="shared" si="20"/>
        <v>1.5344719926538115E-2</v>
      </c>
      <c r="AD37" s="98">
        <f t="shared" si="21"/>
        <v>1.5344719926538115E-2</v>
      </c>
      <c r="AE37" s="97">
        <f t="shared" si="22"/>
        <v>0.68266666666666687</v>
      </c>
      <c r="AF37" s="96">
        <f t="shared" si="23"/>
        <v>1.2387380645858153</v>
      </c>
      <c r="AG37" s="96">
        <f t="shared" si="10"/>
        <v>6.751676767676771E-3</v>
      </c>
      <c r="AH37" s="96">
        <f t="shared" si="11"/>
        <v>2.441274725274726</v>
      </c>
      <c r="AI37" s="98">
        <f t="shared" si="24"/>
        <v>2.448026402042403</v>
      </c>
      <c r="AJ37" s="97">
        <f t="shared" si="25"/>
        <v>1.6</v>
      </c>
      <c r="AK37" s="96">
        <f t="shared" si="26"/>
        <v>2.9512102387458334</v>
      </c>
      <c r="AL37" s="96">
        <f t="shared" si="27"/>
        <v>0.10400000000000001</v>
      </c>
      <c r="AM37" s="96">
        <f t="shared" si="14"/>
        <v>4.8104000000000005</v>
      </c>
      <c r="AN37" s="98">
        <f t="shared" si="28"/>
        <v>4.9144000000000005</v>
      </c>
      <c r="AO37" s="97">
        <f t="shared" si="15"/>
        <v>6.137887970615246E-3</v>
      </c>
      <c r="AP37" s="96">
        <f t="shared" si="16"/>
        <v>0.29025000000000001</v>
      </c>
      <c r="AQ37" s="98">
        <f t="shared" si="29"/>
        <v>8.0999999999999996E-3</v>
      </c>
      <c r="AR37" s="97">
        <f t="shared" si="30"/>
        <v>7.6669142900130192</v>
      </c>
      <c r="AS37" s="96">
        <f t="shared" si="31"/>
        <v>19.200000000000003</v>
      </c>
      <c r="AT37" s="98">
        <f t="shared" si="32"/>
        <v>71.463361191192078</v>
      </c>
    </row>
    <row r="38" spans="17:46" x14ac:dyDescent="0.3">
      <c r="Q38" s="32">
        <v>31</v>
      </c>
      <c r="R38" s="97">
        <f t="shared" si="0"/>
        <v>12</v>
      </c>
      <c r="S38" s="96">
        <f t="shared" si="1"/>
        <v>1.6533333333333335</v>
      </c>
      <c r="T38" s="96">
        <f t="shared" si="2"/>
        <v>18</v>
      </c>
      <c r="U38" s="98">
        <f t="shared" si="3"/>
        <v>1.1022222222222224</v>
      </c>
      <c r="V38" s="97">
        <f t="shared" si="4"/>
        <v>2</v>
      </c>
      <c r="W38" s="96">
        <f t="shared" si="5"/>
        <v>0.4</v>
      </c>
      <c r="X38" s="98">
        <f t="shared" si="6"/>
        <v>0.6</v>
      </c>
      <c r="Y38" s="97">
        <f t="shared" si="18"/>
        <v>2.1818181818181821</v>
      </c>
      <c r="Z38" s="96">
        <f t="shared" si="33"/>
        <v>4.9373737373737381</v>
      </c>
      <c r="AA38" s="96">
        <f t="shared" si="19"/>
        <v>1.2694833760378776</v>
      </c>
      <c r="AB38" s="96">
        <v>0</v>
      </c>
      <c r="AC38" s="96">
        <f t="shared" si="20"/>
        <v>1.6115880420365273E-2</v>
      </c>
      <c r="AD38" s="98">
        <f t="shared" si="21"/>
        <v>1.6115880420365273E-2</v>
      </c>
      <c r="AE38" s="97">
        <f t="shared" si="22"/>
        <v>0.72893629629629653</v>
      </c>
      <c r="AF38" s="96">
        <f t="shared" si="23"/>
        <v>1.2694833760378776</v>
      </c>
      <c r="AG38" s="96">
        <f t="shared" si="10"/>
        <v>7.0909873849607213E-3</v>
      </c>
      <c r="AH38" s="96">
        <f t="shared" si="11"/>
        <v>2.5226505494505505</v>
      </c>
      <c r="AI38" s="98">
        <f t="shared" si="24"/>
        <v>2.5297415368355112</v>
      </c>
      <c r="AJ38" s="97">
        <f t="shared" si="25"/>
        <v>1.6533333333333335</v>
      </c>
      <c r="AK38" s="96">
        <f t="shared" si="26"/>
        <v>3.0191374090668783</v>
      </c>
      <c r="AL38" s="96">
        <f t="shared" si="27"/>
        <v>0.10746666666666668</v>
      </c>
      <c r="AM38" s="96">
        <f t="shared" si="14"/>
        <v>4.8104000000000005</v>
      </c>
      <c r="AN38" s="98">
        <f t="shared" si="28"/>
        <v>4.9178666666666668</v>
      </c>
      <c r="AO38" s="97">
        <f t="shared" si="15"/>
        <v>6.4463521681461097E-3</v>
      </c>
      <c r="AP38" s="96">
        <f t="shared" si="16"/>
        <v>0.29025000000000001</v>
      </c>
      <c r="AQ38" s="98">
        <f t="shared" si="29"/>
        <v>8.0999999999999996E-3</v>
      </c>
      <c r="AR38" s="97">
        <f t="shared" si="30"/>
        <v>7.7524045556703234</v>
      </c>
      <c r="AS38" s="96">
        <f t="shared" si="31"/>
        <v>19.840000000000003</v>
      </c>
      <c r="AT38" s="98">
        <f t="shared" si="32"/>
        <v>71.903845712217276</v>
      </c>
    </row>
    <row r="39" spans="17:46" x14ac:dyDescent="0.3">
      <c r="Q39" s="32">
        <v>32</v>
      </c>
      <c r="R39" s="97">
        <f t="shared" si="0"/>
        <v>12</v>
      </c>
      <c r="S39" s="96">
        <f t="shared" ref="S39:S70" si="34">Q39*$O$12</f>
        <v>1.7066666666666668</v>
      </c>
      <c r="T39" s="96">
        <f t="shared" si="2"/>
        <v>18</v>
      </c>
      <c r="U39" s="98">
        <f t="shared" ref="U39:U70" si="35">(R39*S39)/(T39*EFF_est)</f>
        <v>1.1377777777777778</v>
      </c>
      <c r="V39" s="97">
        <f t="shared" ref="V39:V70" si="36">IF(S39&lt;((T39^2)*R39)/(2*Fsw*Lm*((T39+R39)^2)),1,2)</f>
        <v>2</v>
      </c>
      <c r="W39" s="96">
        <f t="shared" ref="W39:W70" si="37">CHOOSE(V39,SQRT(2*Lm*R39*S39*Fsw)/T39,R39/(T39+R39))</f>
        <v>0.4</v>
      </c>
      <c r="X39" s="98">
        <f t="shared" ref="X39:X70" si="38">CHOOSE(V39,(Lm*Z39*Fsw)/(R39),1-W39)</f>
        <v>0.6</v>
      </c>
      <c r="Y39" s="97">
        <f t="shared" si="18"/>
        <v>2.1818181818181821</v>
      </c>
      <c r="Z39" s="96">
        <f t="shared" si="33"/>
        <v>5.0262626262626267</v>
      </c>
      <c r="AA39" s="96">
        <f t="shared" si="19"/>
        <v>1.3004739468674378</v>
      </c>
      <c r="AB39" s="96">
        <v>0</v>
      </c>
      <c r="AC39" s="96">
        <f t="shared" si="20"/>
        <v>1.6912324864809713E-2</v>
      </c>
      <c r="AD39" s="98">
        <f t="shared" si="21"/>
        <v>1.6912324864809713E-2</v>
      </c>
      <c r="AE39" s="97">
        <f t="shared" si="22"/>
        <v>0.77672296296296306</v>
      </c>
      <c r="AF39" s="96">
        <f t="shared" si="23"/>
        <v>1.3004739468674378</v>
      </c>
      <c r="AG39" s="96">
        <f t="shared" ref="AG39:AG70" si="39">(AF39^2)*RDS_on</f>
        <v>7.4414229405162747E-3</v>
      </c>
      <c r="AH39" s="96">
        <f t="shared" ref="AH39:AH70" si="40">(((R39+T39)*(U39+S39))/2)*Fsw*(tr_sw+tf_sw)</f>
        <v>2.604026373626374</v>
      </c>
      <c r="AI39" s="98">
        <f t="shared" si="24"/>
        <v>2.6114677965668904</v>
      </c>
      <c r="AJ39" s="97">
        <f t="shared" si="25"/>
        <v>1.7066666666666668</v>
      </c>
      <c r="AK39" s="96">
        <f t="shared" si="26"/>
        <v>3.0871056019931298</v>
      </c>
      <c r="AL39" s="96">
        <f t="shared" si="27"/>
        <v>0.11093333333333334</v>
      </c>
      <c r="AM39" s="96">
        <f t="shared" ref="AM39:AM70" si="41">(R39+T39+Vd_rect)*Qrr*Fsw</f>
        <v>4.8104000000000005</v>
      </c>
      <c r="AN39" s="98">
        <f t="shared" si="28"/>
        <v>4.921333333333334</v>
      </c>
      <c r="AO39" s="97">
        <f t="shared" ref="AO39:AO70" si="42">(AF39^2)*R_cs</f>
        <v>6.7649299459238855E-3</v>
      </c>
      <c r="AP39" s="96">
        <f t="shared" si="16"/>
        <v>0.29025000000000001</v>
      </c>
      <c r="AQ39" s="98">
        <f t="shared" si="29"/>
        <v>8.0999999999999996E-3</v>
      </c>
      <c r="AR39" s="97">
        <f t="shared" si="30"/>
        <v>7.8379160598461484</v>
      </c>
      <c r="AS39" s="96">
        <f t="shared" si="31"/>
        <v>20.48</v>
      </c>
      <c r="AT39" s="98">
        <f t="shared" si="32"/>
        <v>72.321706006608139</v>
      </c>
    </row>
    <row r="40" spans="17:46" x14ac:dyDescent="0.3">
      <c r="Q40" s="32">
        <v>33</v>
      </c>
      <c r="R40" s="97">
        <f t="shared" si="0"/>
        <v>12</v>
      </c>
      <c r="S40" s="96">
        <f t="shared" si="34"/>
        <v>1.76</v>
      </c>
      <c r="T40" s="96">
        <f t="shared" si="2"/>
        <v>18</v>
      </c>
      <c r="U40" s="98">
        <f t="shared" si="35"/>
        <v>1.1733333333333333</v>
      </c>
      <c r="V40" s="97">
        <f t="shared" si="36"/>
        <v>2</v>
      </c>
      <c r="W40" s="96">
        <f t="shared" si="37"/>
        <v>0.4</v>
      </c>
      <c r="X40" s="98">
        <f t="shared" si="38"/>
        <v>0.6</v>
      </c>
      <c r="Y40" s="97">
        <f t="shared" si="18"/>
        <v>2.1818181818181821</v>
      </c>
      <c r="Z40" s="96">
        <f t="shared" si="33"/>
        <v>5.1151515151515152</v>
      </c>
      <c r="AA40" s="96">
        <f t="shared" si="19"/>
        <v>1.3316926544766792</v>
      </c>
      <c r="AB40" s="96">
        <v>0</v>
      </c>
      <c r="AC40" s="96">
        <f t="shared" si="20"/>
        <v>1.773405325987144E-2</v>
      </c>
      <c r="AD40" s="98">
        <f t="shared" si="21"/>
        <v>1.773405325987144E-2</v>
      </c>
      <c r="AE40" s="97">
        <f t="shared" si="22"/>
        <v>0.82602666666666669</v>
      </c>
      <c r="AF40" s="96">
        <f t="shared" si="23"/>
        <v>1.3316926544766792</v>
      </c>
      <c r="AG40" s="96">
        <f t="shared" si="39"/>
        <v>7.8029834343434339E-3</v>
      </c>
      <c r="AH40" s="96">
        <f t="shared" si="40"/>
        <v>2.685402197802198</v>
      </c>
      <c r="AI40" s="98">
        <f t="shared" si="24"/>
        <v>2.6932051812365416</v>
      </c>
      <c r="AJ40" s="97">
        <f t="shared" si="25"/>
        <v>1.76</v>
      </c>
      <c r="AK40" s="96">
        <f t="shared" si="26"/>
        <v>3.155112166368915</v>
      </c>
      <c r="AL40" s="96">
        <f t="shared" si="27"/>
        <v>0.1144</v>
      </c>
      <c r="AM40" s="96">
        <f t="shared" si="41"/>
        <v>4.8104000000000005</v>
      </c>
      <c r="AN40" s="98">
        <f t="shared" si="28"/>
        <v>4.9248000000000003</v>
      </c>
      <c r="AO40" s="97">
        <f t="shared" si="42"/>
        <v>7.093621303948576E-3</v>
      </c>
      <c r="AP40" s="96">
        <f t="shared" si="16"/>
        <v>0.29025000000000001</v>
      </c>
      <c r="AQ40" s="98">
        <f t="shared" si="29"/>
        <v>8.0999999999999996E-3</v>
      </c>
      <c r="AR40" s="97">
        <f t="shared" si="30"/>
        <v>7.9234488025404906</v>
      </c>
      <c r="AS40" s="96">
        <f t="shared" si="31"/>
        <v>21.12</v>
      </c>
      <c r="AT40" s="98">
        <f t="shared" si="32"/>
        <v>72.718636631585525</v>
      </c>
    </row>
    <row r="41" spans="17:46" x14ac:dyDescent="0.3">
      <c r="Q41" s="32">
        <v>34</v>
      </c>
      <c r="R41" s="97">
        <f t="shared" si="0"/>
        <v>12</v>
      </c>
      <c r="S41" s="96">
        <f t="shared" si="34"/>
        <v>1.8133333333333335</v>
      </c>
      <c r="T41" s="96">
        <f t="shared" si="2"/>
        <v>18</v>
      </c>
      <c r="U41" s="98">
        <f t="shared" si="35"/>
        <v>1.2088888888888889</v>
      </c>
      <c r="V41" s="97">
        <f t="shared" si="36"/>
        <v>2</v>
      </c>
      <c r="W41" s="96">
        <f t="shared" si="37"/>
        <v>0.4</v>
      </c>
      <c r="X41" s="98">
        <f t="shared" si="38"/>
        <v>0.6</v>
      </c>
      <c r="Y41" s="97">
        <f t="shared" si="18"/>
        <v>2.1818181818181821</v>
      </c>
      <c r="Z41" s="96">
        <f t="shared" si="33"/>
        <v>5.2040404040404038</v>
      </c>
      <c r="AA41" s="96">
        <f t="shared" si="19"/>
        <v>1.363123824366314</v>
      </c>
      <c r="AB41" s="96">
        <v>0</v>
      </c>
      <c r="AC41" s="96">
        <f t="shared" si="20"/>
        <v>1.8581065605550454E-2</v>
      </c>
      <c r="AD41" s="98">
        <f t="shared" si="21"/>
        <v>1.8581065605550454E-2</v>
      </c>
      <c r="AE41" s="97">
        <f t="shared" si="22"/>
        <v>0.87684740740740752</v>
      </c>
      <c r="AF41" s="96">
        <f t="shared" si="23"/>
        <v>1.363123824366314</v>
      </c>
      <c r="AG41" s="96">
        <f t="shared" si="39"/>
        <v>8.1756688664422015E-3</v>
      </c>
      <c r="AH41" s="96">
        <f t="shared" si="40"/>
        <v>2.766778021978022</v>
      </c>
      <c r="AI41" s="98">
        <f t="shared" si="24"/>
        <v>2.7749536908444643</v>
      </c>
      <c r="AJ41" s="97">
        <f t="shared" si="25"/>
        <v>1.8133333333333335</v>
      </c>
      <c r="AK41" s="96">
        <f t="shared" si="26"/>
        <v>3.223154673353795</v>
      </c>
      <c r="AL41" s="96">
        <f t="shared" si="27"/>
        <v>0.11786666666666668</v>
      </c>
      <c r="AM41" s="96">
        <f t="shared" si="41"/>
        <v>4.8104000000000005</v>
      </c>
      <c r="AN41" s="98">
        <f t="shared" si="28"/>
        <v>4.9282666666666675</v>
      </c>
      <c r="AO41" s="97">
        <f t="shared" si="42"/>
        <v>7.4324262422201821E-3</v>
      </c>
      <c r="AP41" s="96">
        <f t="shared" si="16"/>
        <v>0.29025000000000001</v>
      </c>
      <c r="AQ41" s="98">
        <f t="shared" si="29"/>
        <v>8.0999999999999996E-3</v>
      </c>
      <c r="AR41" s="97">
        <f t="shared" si="30"/>
        <v>8.0090027837533526</v>
      </c>
      <c r="AS41" s="96">
        <f t="shared" si="31"/>
        <v>21.76</v>
      </c>
      <c r="AT41" s="98">
        <f t="shared" si="32"/>
        <v>73.096167036793318</v>
      </c>
    </row>
    <row r="42" spans="17:46" x14ac:dyDescent="0.3">
      <c r="Q42" s="32">
        <v>35</v>
      </c>
      <c r="R42" s="97">
        <f t="shared" si="0"/>
        <v>12</v>
      </c>
      <c r="S42" s="96">
        <f t="shared" si="34"/>
        <v>1.8666666666666667</v>
      </c>
      <c r="T42" s="96">
        <f t="shared" si="2"/>
        <v>18</v>
      </c>
      <c r="U42" s="98">
        <f t="shared" si="35"/>
        <v>1.2444444444444445</v>
      </c>
      <c r="V42" s="97">
        <f t="shared" si="36"/>
        <v>2</v>
      </c>
      <c r="W42" s="96">
        <f t="shared" si="37"/>
        <v>0.4</v>
      </c>
      <c r="X42" s="98">
        <f t="shared" si="38"/>
        <v>0.6</v>
      </c>
      <c r="Y42" s="97">
        <f t="shared" si="18"/>
        <v>2.1818181818181821</v>
      </c>
      <c r="Z42" s="96">
        <f t="shared" si="33"/>
        <v>5.2929292929292933</v>
      </c>
      <c r="AA42" s="96">
        <f t="shared" si="19"/>
        <v>1.3947530929109551</v>
      </c>
      <c r="AB42" s="96">
        <v>0</v>
      </c>
      <c r="AC42" s="96">
        <f t="shared" si="20"/>
        <v>1.9453361901846752E-2</v>
      </c>
      <c r="AD42" s="98">
        <f t="shared" si="21"/>
        <v>1.9453361901846752E-2</v>
      </c>
      <c r="AE42" s="97">
        <f t="shared" si="22"/>
        <v>0.92918518518518534</v>
      </c>
      <c r="AF42" s="96">
        <f t="shared" si="23"/>
        <v>1.3947530929109551</v>
      </c>
      <c r="AG42" s="96">
        <f t="shared" si="39"/>
        <v>8.5594792368125713E-3</v>
      </c>
      <c r="AH42" s="96">
        <f t="shared" si="40"/>
        <v>2.8481538461538465</v>
      </c>
      <c r="AI42" s="98">
        <f t="shared" si="24"/>
        <v>2.8567133253906589</v>
      </c>
      <c r="AJ42" s="97">
        <f t="shared" si="25"/>
        <v>1.8666666666666667</v>
      </c>
      <c r="AK42" s="96">
        <f t="shared" si="26"/>
        <v>3.2912308937291472</v>
      </c>
      <c r="AL42" s="96">
        <f t="shared" si="27"/>
        <v>0.12133333333333333</v>
      </c>
      <c r="AM42" s="96">
        <f t="shared" si="41"/>
        <v>4.8104000000000005</v>
      </c>
      <c r="AN42" s="98">
        <f t="shared" si="28"/>
        <v>4.9317333333333337</v>
      </c>
      <c r="AO42" s="97">
        <f t="shared" si="42"/>
        <v>7.7813447607387011E-3</v>
      </c>
      <c r="AP42" s="96">
        <f t="shared" si="16"/>
        <v>0.29025000000000001</v>
      </c>
      <c r="AQ42" s="98">
        <f t="shared" si="29"/>
        <v>8.0999999999999996E-3</v>
      </c>
      <c r="AR42" s="97">
        <f t="shared" si="30"/>
        <v>8.0945780034847328</v>
      </c>
      <c r="AS42" s="96">
        <f t="shared" si="31"/>
        <v>22.4</v>
      </c>
      <c r="AT42" s="98">
        <f t="shared" si="32"/>
        <v>73.455681194998874</v>
      </c>
    </row>
    <row r="43" spans="17:46" x14ac:dyDescent="0.3">
      <c r="Q43" s="32">
        <v>36</v>
      </c>
      <c r="R43" s="97">
        <f t="shared" si="0"/>
        <v>12</v>
      </c>
      <c r="S43" s="96">
        <f t="shared" si="34"/>
        <v>1.9200000000000002</v>
      </c>
      <c r="T43" s="96">
        <f t="shared" si="2"/>
        <v>18</v>
      </c>
      <c r="U43" s="98">
        <f t="shared" si="35"/>
        <v>1.2800000000000002</v>
      </c>
      <c r="V43" s="97">
        <f t="shared" si="36"/>
        <v>2</v>
      </c>
      <c r="W43" s="96">
        <f t="shared" si="37"/>
        <v>0.4</v>
      </c>
      <c r="X43" s="98">
        <f t="shared" si="38"/>
        <v>0.6</v>
      </c>
      <c r="Y43" s="97">
        <f t="shared" si="18"/>
        <v>2.1818181818181821</v>
      </c>
      <c r="Z43" s="96">
        <f t="shared" si="33"/>
        <v>5.3818181818181827</v>
      </c>
      <c r="AA43" s="96">
        <f t="shared" si="19"/>
        <v>1.42656728368347</v>
      </c>
      <c r="AB43" s="96">
        <v>0</v>
      </c>
      <c r="AC43" s="96">
        <f t="shared" si="20"/>
        <v>2.0350942148760338E-2</v>
      </c>
      <c r="AD43" s="98">
        <f t="shared" si="21"/>
        <v>2.0350942148760338E-2</v>
      </c>
      <c r="AE43" s="97">
        <f t="shared" si="22"/>
        <v>0.98304000000000036</v>
      </c>
      <c r="AF43" s="96">
        <f t="shared" si="23"/>
        <v>1.42656728368347</v>
      </c>
      <c r="AG43" s="96">
        <f t="shared" si="39"/>
        <v>8.9544145454545487E-3</v>
      </c>
      <c r="AH43" s="96">
        <f t="shared" si="40"/>
        <v>2.9295296703296705</v>
      </c>
      <c r="AI43" s="98">
        <f t="shared" si="24"/>
        <v>2.938484084875125</v>
      </c>
      <c r="AJ43" s="97">
        <f t="shared" si="25"/>
        <v>1.9200000000000002</v>
      </c>
      <c r="AK43" s="96">
        <f t="shared" si="26"/>
        <v>3.3593387779135035</v>
      </c>
      <c r="AL43" s="96">
        <f t="shared" si="27"/>
        <v>0.12480000000000001</v>
      </c>
      <c r="AM43" s="96">
        <f t="shared" si="41"/>
        <v>4.8104000000000005</v>
      </c>
      <c r="AN43" s="98">
        <f t="shared" si="28"/>
        <v>4.9352</v>
      </c>
      <c r="AO43" s="97">
        <f t="shared" si="42"/>
        <v>8.1403768595041358E-3</v>
      </c>
      <c r="AP43" s="96">
        <f t="shared" si="16"/>
        <v>0.29025000000000001</v>
      </c>
      <c r="AQ43" s="98">
        <f t="shared" si="29"/>
        <v>8.0999999999999996E-3</v>
      </c>
      <c r="AR43" s="97">
        <f t="shared" si="30"/>
        <v>8.1801744617346301</v>
      </c>
      <c r="AS43" s="96">
        <f t="shared" si="31"/>
        <v>23.040000000000003</v>
      </c>
      <c r="AT43" s="98">
        <f t="shared" si="32"/>
        <v>73.798434497024488</v>
      </c>
    </row>
    <row r="44" spans="17:46" x14ac:dyDescent="0.3">
      <c r="Q44" s="32">
        <v>37</v>
      </c>
      <c r="R44" s="97">
        <f t="shared" si="0"/>
        <v>12</v>
      </c>
      <c r="S44" s="96">
        <f t="shared" si="34"/>
        <v>1.9733333333333334</v>
      </c>
      <c r="T44" s="96">
        <f t="shared" si="2"/>
        <v>18</v>
      </c>
      <c r="U44" s="98">
        <f t="shared" si="35"/>
        <v>1.3155555555555556</v>
      </c>
      <c r="V44" s="97">
        <f t="shared" si="36"/>
        <v>2</v>
      </c>
      <c r="W44" s="96">
        <f t="shared" si="37"/>
        <v>0.4</v>
      </c>
      <c r="X44" s="98">
        <f t="shared" si="38"/>
        <v>0.6</v>
      </c>
      <c r="Y44" s="97">
        <f t="shared" si="18"/>
        <v>2.1818181818181821</v>
      </c>
      <c r="Z44" s="96">
        <f t="shared" si="33"/>
        <v>5.4707070707070713</v>
      </c>
      <c r="AA44" s="96">
        <f t="shared" si="19"/>
        <v>1.4585542960853803</v>
      </c>
      <c r="AB44" s="96">
        <v>0</v>
      </c>
      <c r="AC44" s="96">
        <f t="shared" si="20"/>
        <v>2.1273806346291196E-2</v>
      </c>
      <c r="AD44" s="98">
        <f t="shared" si="21"/>
        <v>2.1273806346291196E-2</v>
      </c>
      <c r="AE44" s="97">
        <f t="shared" si="22"/>
        <v>1.0384118518518519</v>
      </c>
      <c r="AF44" s="96">
        <f t="shared" si="23"/>
        <v>1.4585542960853803</v>
      </c>
      <c r="AG44" s="96">
        <f t="shared" si="39"/>
        <v>9.3604747923681265E-3</v>
      </c>
      <c r="AH44" s="96">
        <f t="shared" si="40"/>
        <v>3.0109054945054945</v>
      </c>
      <c r="AI44" s="98">
        <f t="shared" si="24"/>
        <v>3.0202659692978626</v>
      </c>
      <c r="AJ44" s="97">
        <f t="shared" si="25"/>
        <v>1.9733333333333334</v>
      </c>
      <c r="AK44" s="96">
        <f t="shared" si="26"/>
        <v>3.4274764383188838</v>
      </c>
      <c r="AL44" s="96">
        <f t="shared" si="27"/>
        <v>0.12826666666666667</v>
      </c>
      <c r="AM44" s="96">
        <f t="shared" si="41"/>
        <v>4.8104000000000005</v>
      </c>
      <c r="AN44" s="98">
        <f t="shared" si="28"/>
        <v>4.9386666666666672</v>
      </c>
      <c r="AO44" s="97">
        <f t="shared" si="42"/>
        <v>8.5095225385164782E-3</v>
      </c>
      <c r="AP44" s="96">
        <f t="shared" si="16"/>
        <v>0.29025000000000001</v>
      </c>
      <c r="AQ44" s="98">
        <f t="shared" si="29"/>
        <v>8.0999999999999996E-3</v>
      </c>
      <c r="AR44" s="97">
        <f t="shared" si="30"/>
        <v>8.2657921585030465</v>
      </c>
      <c r="AS44" s="96">
        <f t="shared" si="31"/>
        <v>23.68</v>
      </c>
      <c r="AT44" s="98">
        <f t="shared" si="32"/>
        <v>74.125568345617211</v>
      </c>
    </row>
    <row r="45" spans="17:46" x14ac:dyDescent="0.3">
      <c r="Q45" s="32">
        <v>38</v>
      </c>
      <c r="R45" s="97">
        <f t="shared" si="0"/>
        <v>12</v>
      </c>
      <c r="S45" s="96">
        <f t="shared" si="34"/>
        <v>2.0266666666666668</v>
      </c>
      <c r="T45" s="96">
        <f t="shared" si="2"/>
        <v>18</v>
      </c>
      <c r="U45" s="98">
        <f t="shared" si="35"/>
        <v>1.3511111111111112</v>
      </c>
      <c r="V45" s="97">
        <f t="shared" si="36"/>
        <v>2</v>
      </c>
      <c r="W45" s="96">
        <f t="shared" si="37"/>
        <v>0.4</v>
      </c>
      <c r="X45" s="98">
        <f t="shared" si="38"/>
        <v>0.6</v>
      </c>
      <c r="Y45" s="97">
        <f t="shared" si="18"/>
        <v>2.1818181818181821</v>
      </c>
      <c r="Z45" s="96">
        <f t="shared" si="33"/>
        <v>5.5595959595959599</v>
      </c>
      <c r="AA45" s="96">
        <f t="shared" si="19"/>
        <v>1.4907030051099832</v>
      </c>
      <c r="AB45" s="96">
        <v>0</v>
      </c>
      <c r="AC45" s="96">
        <f t="shared" si="20"/>
        <v>2.2221954494439346E-2</v>
      </c>
      <c r="AD45" s="98">
        <f t="shared" si="21"/>
        <v>2.2221954494439346E-2</v>
      </c>
      <c r="AE45" s="97">
        <f t="shared" si="22"/>
        <v>1.0953007407407409</v>
      </c>
      <c r="AF45" s="96">
        <f t="shared" si="23"/>
        <v>1.4907030051099832</v>
      </c>
      <c r="AG45" s="96">
        <f t="shared" si="39"/>
        <v>9.7776599775533136E-3</v>
      </c>
      <c r="AH45" s="96">
        <f t="shared" si="40"/>
        <v>3.0922813186813194</v>
      </c>
      <c r="AI45" s="98">
        <f t="shared" si="24"/>
        <v>3.1020589786588726</v>
      </c>
      <c r="AJ45" s="97">
        <f t="shared" si="25"/>
        <v>2.0266666666666668</v>
      </c>
      <c r="AK45" s="96">
        <f t="shared" si="26"/>
        <v>3.4956421337359882</v>
      </c>
      <c r="AL45" s="96">
        <f t="shared" si="27"/>
        <v>0.13173333333333334</v>
      </c>
      <c r="AM45" s="96">
        <f t="shared" si="41"/>
        <v>4.8104000000000005</v>
      </c>
      <c r="AN45" s="98">
        <f t="shared" si="28"/>
        <v>4.9421333333333335</v>
      </c>
      <c r="AO45" s="97">
        <f t="shared" si="42"/>
        <v>8.8887817977757379E-3</v>
      </c>
      <c r="AP45" s="96">
        <f t="shared" si="16"/>
        <v>0.29025000000000001</v>
      </c>
      <c r="AQ45" s="98">
        <f t="shared" si="29"/>
        <v>8.0999999999999996E-3</v>
      </c>
      <c r="AR45" s="97">
        <f t="shared" si="30"/>
        <v>8.3514310937899818</v>
      </c>
      <c r="AS45" s="96">
        <f t="shared" si="31"/>
        <v>24.32</v>
      </c>
      <c r="AT45" s="98">
        <f t="shared" si="32"/>
        <v>74.438122805776388</v>
      </c>
    </row>
    <row r="46" spans="17:46" x14ac:dyDescent="0.3">
      <c r="Q46" s="32">
        <v>39</v>
      </c>
      <c r="R46" s="97">
        <f t="shared" si="0"/>
        <v>12</v>
      </c>
      <c r="S46" s="96">
        <f t="shared" si="34"/>
        <v>2.08</v>
      </c>
      <c r="T46" s="96">
        <f t="shared" si="2"/>
        <v>18</v>
      </c>
      <c r="U46" s="98">
        <f t="shared" si="35"/>
        <v>1.3866666666666667</v>
      </c>
      <c r="V46" s="97">
        <f t="shared" si="36"/>
        <v>2</v>
      </c>
      <c r="W46" s="96">
        <f t="shared" si="37"/>
        <v>0.4</v>
      </c>
      <c r="X46" s="98">
        <f t="shared" si="38"/>
        <v>0.6</v>
      </c>
      <c r="Y46" s="97">
        <f t="shared" si="18"/>
        <v>2.1818181818181821</v>
      </c>
      <c r="Z46" s="96">
        <f t="shared" si="33"/>
        <v>5.6484848484848484</v>
      </c>
      <c r="AA46" s="96">
        <f t="shared" si="19"/>
        <v>1.5230031711459033</v>
      </c>
      <c r="AB46" s="96">
        <v>0</v>
      </c>
      <c r="AC46" s="96">
        <f t="shared" si="20"/>
        <v>2.3195386593204779E-2</v>
      </c>
      <c r="AD46" s="98">
        <f t="shared" si="21"/>
        <v>2.3195386593204779E-2</v>
      </c>
      <c r="AE46" s="97">
        <f t="shared" si="22"/>
        <v>1.1537066666666669</v>
      </c>
      <c r="AF46" s="96">
        <f t="shared" si="23"/>
        <v>1.5230031711459033</v>
      </c>
      <c r="AG46" s="96">
        <f t="shared" si="39"/>
        <v>1.0205970101010103E-2</v>
      </c>
      <c r="AH46" s="96">
        <f t="shared" si="40"/>
        <v>3.1736571428571434</v>
      </c>
      <c r="AI46" s="98">
        <f t="shared" si="24"/>
        <v>3.1838631129581536</v>
      </c>
      <c r="AJ46" s="97">
        <f t="shared" si="25"/>
        <v>2.08</v>
      </c>
      <c r="AK46" s="96">
        <f t="shared" si="26"/>
        <v>3.5638342554825644</v>
      </c>
      <c r="AL46" s="96">
        <f t="shared" si="27"/>
        <v>0.13520000000000001</v>
      </c>
      <c r="AM46" s="96">
        <f t="shared" si="41"/>
        <v>4.8104000000000005</v>
      </c>
      <c r="AN46" s="98">
        <f t="shared" si="28"/>
        <v>4.9456000000000007</v>
      </c>
      <c r="AO46" s="97">
        <f t="shared" si="42"/>
        <v>9.2781546372819115E-3</v>
      </c>
      <c r="AP46" s="96">
        <f t="shared" si="16"/>
        <v>0.29025000000000001</v>
      </c>
      <c r="AQ46" s="98">
        <f t="shared" si="29"/>
        <v>8.0999999999999996E-3</v>
      </c>
      <c r="AR46" s="97">
        <f t="shared" si="30"/>
        <v>8.4370912675954362</v>
      </c>
      <c r="AS46" s="96">
        <f t="shared" si="31"/>
        <v>24.96</v>
      </c>
      <c r="AT46" s="98">
        <f t="shared" si="32"/>
        <v>74.737047606951975</v>
      </c>
    </row>
    <row r="47" spans="17:46" x14ac:dyDescent="0.3">
      <c r="Q47" s="32">
        <v>40</v>
      </c>
      <c r="R47" s="97">
        <f t="shared" si="0"/>
        <v>12</v>
      </c>
      <c r="S47" s="96">
        <f t="shared" si="34"/>
        <v>2.1333333333333333</v>
      </c>
      <c r="T47" s="96">
        <f t="shared" si="2"/>
        <v>18</v>
      </c>
      <c r="U47" s="98">
        <f t="shared" si="35"/>
        <v>1.4222222222222223</v>
      </c>
      <c r="V47" s="97">
        <f t="shared" si="36"/>
        <v>2</v>
      </c>
      <c r="W47" s="96">
        <f t="shared" si="37"/>
        <v>0.4</v>
      </c>
      <c r="X47" s="98">
        <f t="shared" si="38"/>
        <v>0.6</v>
      </c>
      <c r="Y47" s="97">
        <f t="shared" si="18"/>
        <v>2.1818181818181821</v>
      </c>
      <c r="Z47" s="96">
        <f t="shared" si="33"/>
        <v>5.737373737373737</v>
      </c>
      <c r="AA47" s="96">
        <f t="shared" si="19"/>
        <v>1.5554453588148796</v>
      </c>
      <c r="AB47" s="96">
        <v>0</v>
      </c>
      <c r="AC47" s="96">
        <f t="shared" si="20"/>
        <v>2.4194102642587496E-2</v>
      </c>
      <c r="AD47" s="98">
        <f t="shared" si="21"/>
        <v>2.4194102642587496E-2</v>
      </c>
      <c r="AE47" s="97">
        <f t="shared" si="22"/>
        <v>1.2136296296296298</v>
      </c>
      <c r="AF47" s="96">
        <f t="shared" si="23"/>
        <v>1.5554453588148796</v>
      </c>
      <c r="AG47" s="96">
        <f t="shared" si="39"/>
        <v>1.0645405162738498E-2</v>
      </c>
      <c r="AH47" s="96">
        <f t="shared" si="40"/>
        <v>3.255032967032967</v>
      </c>
      <c r="AI47" s="98">
        <f t="shared" si="24"/>
        <v>3.2656783721957057</v>
      </c>
      <c r="AJ47" s="97">
        <f t="shared" si="25"/>
        <v>2.1333333333333333</v>
      </c>
      <c r="AK47" s="96">
        <f t="shared" si="26"/>
        <v>3.6320513150880891</v>
      </c>
      <c r="AL47" s="96">
        <f t="shared" si="27"/>
        <v>0.13866666666666666</v>
      </c>
      <c r="AM47" s="96">
        <f t="shared" si="41"/>
        <v>4.8104000000000005</v>
      </c>
      <c r="AN47" s="98">
        <f t="shared" si="28"/>
        <v>4.9490666666666669</v>
      </c>
      <c r="AO47" s="97">
        <f t="shared" si="42"/>
        <v>9.677641057034999E-3</v>
      </c>
      <c r="AP47" s="96">
        <f t="shared" si="16"/>
        <v>0.29025000000000001</v>
      </c>
      <c r="AQ47" s="98">
        <f t="shared" si="29"/>
        <v>8.0999999999999996E-3</v>
      </c>
      <c r="AR47" s="97">
        <f t="shared" si="30"/>
        <v>8.5227726799194077</v>
      </c>
      <c r="AS47" s="96">
        <f t="shared" si="31"/>
        <v>25.6</v>
      </c>
      <c r="AT47" s="98">
        <f t="shared" si="32"/>
        <v>75.023211742301072</v>
      </c>
    </row>
    <row r="48" spans="17:46" x14ac:dyDescent="0.3">
      <c r="Q48" s="32">
        <v>41</v>
      </c>
      <c r="R48" s="97">
        <f t="shared" si="0"/>
        <v>12</v>
      </c>
      <c r="S48" s="96">
        <f t="shared" si="34"/>
        <v>2.186666666666667</v>
      </c>
      <c r="T48" s="96">
        <f t="shared" si="2"/>
        <v>18</v>
      </c>
      <c r="U48" s="98">
        <f t="shared" si="35"/>
        <v>1.4577777777777778</v>
      </c>
      <c r="V48" s="97">
        <f t="shared" si="36"/>
        <v>2</v>
      </c>
      <c r="W48" s="96">
        <f t="shared" si="37"/>
        <v>0.4</v>
      </c>
      <c r="X48" s="98">
        <f t="shared" si="38"/>
        <v>0.6</v>
      </c>
      <c r="Y48" s="97">
        <f t="shared" si="18"/>
        <v>2.1818181818181821</v>
      </c>
      <c r="Z48" s="96">
        <f t="shared" si="33"/>
        <v>5.8262626262626274</v>
      </c>
      <c r="AA48" s="96">
        <f t="shared" si="19"/>
        <v>1.5880208639242588</v>
      </c>
      <c r="AB48" s="96">
        <v>0</v>
      </c>
      <c r="AC48" s="96">
        <f t="shared" si="20"/>
        <v>2.5218102642587496E-2</v>
      </c>
      <c r="AD48" s="98">
        <f t="shared" si="21"/>
        <v>2.5218102642587496E-2</v>
      </c>
      <c r="AE48" s="97">
        <f t="shared" si="22"/>
        <v>1.27506962962963</v>
      </c>
      <c r="AF48" s="96">
        <f t="shared" si="23"/>
        <v>1.5880208639242588</v>
      </c>
      <c r="AG48" s="96">
        <f t="shared" si="39"/>
        <v>1.1095965162738497E-2</v>
      </c>
      <c r="AH48" s="96">
        <f t="shared" si="40"/>
        <v>3.3364087912087919</v>
      </c>
      <c r="AI48" s="98">
        <f t="shared" si="24"/>
        <v>3.3475047563715306</v>
      </c>
      <c r="AJ48" s="97">
        <f t="shared" si="25"/>
        <v>2.186666666666667</v>
      </c>
      <c r="AK48" s="96">
        <f t="shared" si="26"/>
        <v>3.7002919333205</v>
      </c>
      <c r="AL48" s="96">
        <f t="shared" si="27"/>
        <v>0.14213333333333336</v>
      </c>
      <c r="AM48" s="96">
        <f t="shared" si="41"/>
        <v>4.8104000000000005</v>
      </c>
      <c r="AN48" s="98">
        <f t="shared" si="28"/>
        <v>4.9525333333333341</v>
      </c>
      <c r="AO48" s="97">
        <f t="shared" si="42"/>
        <v>1.0087241057034999E-2</v>
      </c>
      <c r="AP48" s="96">
        <f t="shared" si="16"/>
        <v>0.29025000000000001</v>
      </c>
      <c r="AQ48" s="98">
        <f t="shared" si="29"/>
        <v>8.0999999999999996E-3</v>
      </c>
      <c r="AR48" s="97">
        <f t="shared" si="30"/>
        <v>8.6084753307619</v>
      </c>
      <c r="AS48" s="96">
        <f t="shared" si="31"/>
        <v>26.240000000000002</v>
      </c>
      <c r="AT48" s="98">
        <f t="shared" si="32"/>
        <v>75.297411869371189</v>
      </c>
    </row>
    <row r="49" spans="17:46" x14ac:dyDescent="0.3">
      <c r="Q49" s="32">
        <v>42</v>
      </c>
      <c r="R49" s="97">
        <f t="shared" si="0"/>
        <v>12</v>
      </c>
      <c r="S49" s="96">
        <f t="shared" si="34"/>
        <v>2.2400000000000002</v>
      </c>
      <c r="T49" s="96">
        <f t="shared" si="2"/>
        <v>18</v>
      </c>
      <c r="U49" s="98">
        <f t="shared" si="35"/>
        <v>1.4933333333333334</v>
      </c>
      <c r="V49" s="97">
        <f t="shared" si="36"/>
        <v>2</v>
      </c>
      <c r="W49" s="96">
        <f t="shared" si="37"/>
        <v>0.4</v>
      </c>
      <c r="X49" s="98">
        <f t="shared" si="38"/>
        <v>0.6</v>
      </c>
      <c r="Y49" s="97">
        <f t="shared" si="18"/>
        <v>2.1818181818181821</v>
      </c>
      <c r="Z49" s="96">
        <f t="shared" si="33"/>
        <v>5.9151515151515159</v>
      </c>
      <c r="AA49" s="96">
        <f t="shared" si="19"/>
        <v>1.6207216476990975</v>
      </c>
      <c r="AB49" s="96">
        <v>0</v>
      </c>
      <c r="AC49" s="96">
        <f t="shared" si="20"/>
        <v>2.6267386593204777E-2</v>
      </c>
      <c r="AD49" s="98">
        <f t="shared" si="21"/>
        <v>2.6267386593204777E-2</v>
      </c>
      <c r="AE49" s="97">
        <f t="shared" si="22"/>
        <v>1.3380266666666669</v>
      </c>
      <c r="AF49" s="96">
        <f t="shared" si="23"/>
        <v>1.6207216476990975</v>
      </c>
      <c r="AG49" s="96">
        <f t="shared" si="39"/>
        <v>1.1557650101010102E-2</v>
      </c>
      <c r="AH49" s="96">
        <f t="shared" si="40"/>
        <v>3.4177846153846159</v>
      </c>
      <c r="AI49" s="98">
        <f t="shared" si="24"/>
        <v>3.429342265485626</v>
      </c>
      <c r="AJ49" s="97">
        <f t="shared" si="25"/>
        <v>2.2400000000000002</v>
      </c>
      <c r="AK49" s="96">
        <f t="shared" si="26"/>
        <v>3.7685548303881529</v>
      </c>
      <c r="AL49" s="96">
        <f t="shared" si="27"/>
        <v>0.14560000000000001</v>
      </c>
      <c r="AM49" s="96">
        <f t="shared" si="41"/>
        <v>4.8104000000000005</v>
      </c>
      <c r="AN49" s="98">
        <f t="shared" si="28"/>
        <v>4.9560000000000004</v>
      </c>
      <c r="AO49" s="97">
        <f t="shared" si="42"/>
        <v>1.0506954637281912E-2</v>
      </c>
      <c r="AP49" s="96">
        <f t="shared" si="16"/>
        <v>0.29025000000000001</v>
      </c>
      <c r="AQ49" s="98">
        <f t="shared" si="29"/>
        <v>8.0999999999999996E-3</v>
      </c>
      <c r="AR49" s="97">
        <f t="shared" si="30"/>
        <v>8.6941992201229095</v>
      </c>
      <c r="AS49" s="96">
        <f t="shared" si="31"/>
        <v>26.880000000000003</v>
      </c>
      <c r="AT49" s="98">
        <f t="shared" si="32"/>
        <v>75.560379683248229</v>
      </c>
    </row>
    <row r="50" spans="17:46" x14ac:dyDescent="0.3">
      <c r="Q50" s="32">
        <v>43</v>
      </c>
      <c r="R50" s="97">
        <f t="shared" si="0"/>
        <v>12</v>
      </c>
      <c r="S50" s="96">
        <f t="shared" si="34"/>
        <v>2.2933333333333334</v>
      </c>
      <c r="T50" s="96">
        <f t="shared" si="2"/>
        <v>18</v>
      </c>
      <c r="U50" s="98">
        <f t="shared" si="35"/>
        <v>1.528888888888889</v>
      </c>
      <c r="V50" s="97">
        <f t="shared" si="36"/>
        <v>2</v>
      </c>
      <c r="W50" s="96">
        <f t="shared" si="37"/>
        <v>0.4</v>
      </c>
      <c r="X50" s="98">
        <f t="shared" si="38"/>
        <v>0.6</v>
      </c>
      <c r="Y50" s="97">
        <f t="shared" si="18"/>
        <v>2.1818181818181821</v>
      </c>
      <c r="Z50" s="96">
        <f t="shared" si="33"/>
        <v>6.0040404040404045</v>
      </c>
      <c r="AA50" s="96">
        <f t="shared" si="19"/>
        <v>1.6535402775390549</v>
      </c>
      <c r="AB50" s="96">
        <v>0</v>
      </c>
      <c r="AC50" s="96">
        <f t="shared" si="20"/>
        <v>2.7341954494439349E-2</v>
      </c>
      <c r="AD50" s="98">
        <f t="shared" si="21"/>
        <v>2.7341954494439349E-2</v>
      </c>
      <c r="AE50" s="97">
        <f t="shared" si="22"/>
        <v>1.402500740740741</v>
      </c>
      <c r="AF50" s="96">
        <f t="shared" si="23"/>
        <v>1.6535402775390549</v>
      </c>
      <c r="AG50" s="96">
        <f t="shared" si="39"/>
        <v>1.2030459977553313E-2</v>
      </c>
      <c r="AH50" s="96">
        <f t="shared" si="40"/>
        <v>3.4991604395604399</v>
      </c>
      <c r="AI50" s="98">
        <f t="shared" si="24"/>
        <v>3.511190899537993</v>
      </c>
      <c r="AJ50" s="97">
        <f t="shared" si="25"/>
        <v>2.2933333333333334</v>
      </c>
      <c r="AK50" s="96">
        <f t="shared" si="26"/>
        <v>3.8368388171733869</v>
      </c>
      <c r="AL50" s="96">
        <f t="shared" si="27"/>
        <v>0.14906666666666668</v>
      </c>
      <c r="AM50" s="96">
        <f t="shared" si="41"/>
        <v>4.8104000000000005</v>
      </c>
      <c r="AN50" s="98">
        <f t="shared" si="28"/>
        <v>4.9594666666666676</v>
      </c>
      <c r="AO50" s="97">
        <f t="shared" si="42"/>
        <v>1.0936781797775739E-2</v>
      </c>
      <c r="AP50" s="96">
        <f t="shared" si="16"/>
        <v>0.29025000000000001</v>
      </c>
      <c r="AQ50" s="98">
        <f t="shared" si="29"/>
        <v>8.0999999999999996E-3</v>
      </c>
      <c r="AR50" s="97">
        <f t="shared" si="30"/>
        <v>8.7799443480024379</v>
      </c>
      <c r="AS50" s="96">
        <f t="shared" si="31"/>
        <v>27.520000000000003</v>
      </c>
      <c r="AT50" s="98">
        <f t="shared" si="32"/>
        <v>75.812788405870961</v>
      </c>
    </row>
    <row r="51" spans="17:46" x14ac:dyDescent="0.3">
      <c r="Q51" s="32">
        <v>44</v>
      </c>
      <c r="R51" s="97">
        <f t="shared" si="0"/>
        <v>12</v>
      </c>
      <c r="S51" s="96">
        <f t="shared" si="34"/>
        <v>2.3466666666666667</v>
      </c>
      <c r="T51" s="96">
        <f t="shared" si="2"/>
        <v>18</v>
      </c>
      <c r="U51" s="98">
        <f t="shared" si="35"/>
        <v>1.5644444444444445</v>
      </c>
      <c r="V51" s="97">
        <f t="shared" si="36"/>
        <v>2</v>
      </c>
      <c r="W51" s="96">
        <f t="shared" si="37"/>
        <v>0.4</v>
      </c>
      <c r="X51" s="98">
        <f t="shared" si="38"/>
        <v>0.6</v>
      </c>
      <c r="Y51" s="97">
        <f t="shared" si="18"/>
        <v>2.1818181818181821</v>
      </c>
      <c r="Z51" s="96">
        <f t="shared" si="33"/>
        <v>6.0929292929292931</v>
      </c>
      <c r="AA51" s="96">
        <f t="shared" si="19"/>
        <v>1.6864698736203738</v>
      </c>
      <c r="AB51" s="96">
        <v>0</v>
      </c>
      <c r="AC51" s="96">
        <f t="shared" si="20"/>
        <v>2.8441806346291197E-2</v>
      </c>
      <c r="AD51" s="98">
        <f t="shared" si="21"/>
        <v>2.8441806346291197E-2</v>
      </c>
      <c r="AE51" s="97">
        <f t="shared" si="22"/>
        <v>1.4684918518518519</v>
      </c>
      <c r="AF51" s="96">
        <f t="shared" si="23"/>
        <v>1.6864698736203738</v>
      </c>
      <c r="AG51" s="96">
        <f t="shared" si="39"/>
        <v>1.2514394792368128E-2</v>
      </c>
      <c r="AH51" s="96">
        <f t="shared" si="40"/>
        <v>3.5805362637362643</v>
      </c>
      <c r="AI51" s="98">
        <f t="shared" si="24"/>
        <v>3.5930506585286324</v>
      </c>
      <c r="AJ51" s="97">
        <f t="shared" si="25"/>
        <v>2.3466666666666667</v>
      </c>
      <c r="AK51" s="96">
        <f t="shared" si="26"/>
        <v>3.9051427873736642</v>
      </c>
      <c r="AL51" s="96">
        <f t="shared" si="27"/>
        <v>0.15253333333333333</v>
      </c>
      <c r="AM51" s="96">
        <f t="shared" si="41"/>
        <v>4.8104000000000005</v>
      </c>
      <c r="AN51" s="98">
        <f t="shared" si="28"/>
        <v>4.9629333333333339</v>
      </c>
      <c r="AO51" s="97">
        <f t="shared" si="42"/>
        <v>1.1376722538516479E-2</v>
      </c>
      <c r="AP51" s="96">
        <f t="shared" si="16"/>
        <v>0.29025000000000001</v>
      </c>
      <c r="AQ51" s="98">
        <f t="shared" si="29"/>
        <v>8.0999999999999996E-3</v>
      </c>
      <c r="AR51" s="97">
        <f t="shared" si="30"/>
        <v>8.8657107144004836</v>
      </c>
      <c r="AS51" s="96">
        <f t="shared" si="31"/>
        <v>28.16</v>
      </c>
      <c r="AT51" s="98">
        <f t="shared" si="32"/>
        <v>76.055258512695275</v>
      </c>
    </row>
    <row r="52" spans="17:46" x14ac:dyDescent="0.3">
      <c r="Q52" s="32">
        <v>45</v>
      </c>
      <c r="R52" s="97">
        <f t="shared" si="0"/>
        <v>12</v>
      </c>
      <c r="S52" s="96">
        <f t="shared" si="34"/>
        <v>2.4000000000000004</v>
      </c>
      <c r="T52" s="96">
        <f t="shared" si="2"/>
        <v>18</v>
      </c>
      <c r="U52" s="98">
        <f t="shared" si="35"/>
        <v>1.6000000000000003</v>
      </c>
      <c r="V52" s="97">
        <f t="shared" si="36"/>
        <v>2</v>
      </c>
      <c r="W52" s="96">
        <f t="shared" si="37"/>
        <v>0.4</v>
      </c>
      <c r="X52" s="98">
        <f t="shared" si="38"/>
        <v>0.6</v>
      </c>
      <c r="Y52" s="97">
        <f t="shared" si="18"/>
        <v>2.1818181818181821</v>
      </c>
      <c r="Z52" s="96">
        <f t="shared" si="33"/>
        <v>6.1818181818181834</v>
      </c>
      <c r="AA52" s="96">
        <f t="shared" si="19"/>
        <v>1.7195040607326386</v>
      </c>
      <c r="AB52" s="96">
        <v>0</v>
      </c>
      <c r="AC52" s="96">
        <f t="shared" si="20"/>
        <v>2.9566942148760336E-2</v>
      </c>
      <c r="AD52" s="98">
        <f t="shared" si="21"/>
        <v>2.9566942148760336E-2</v>
      </c>
      <c r="AE52" s="97">
        <f t="shared" si="22"/>
        <v>1.5360000000000005</v>
      </c>
      <c r="AF52" s="96">
        <f t="shared" si="23"/>
        <v>1.7195040607326386</v>
      </c>
      <c r="AG52" s="96">
        <f t="shared" si="39"/>
        <v>1.3009454545454548E-2</v>
      </c>
      <c r="AH52" s="96">
        <f t="shared" si="40"/>
        <v>3.6619120879120892</v>
      </c>
      <c r="AI52" s="98">
        <f t="shared" si="24"/>
        <v>3.6749215424575437</v>
      </c>
      <c r="AJ52" s="97">
        <f t="shared" si="25"/>
        <v>2.4000000000000004</v>
      </c>
      <c r="AK52" s="96">
        <f t="shared" si="26"/>
        <v>3.9734657104429787</v>
      </c>
      <c r="AL52" s="96">
        <f t="shared" si="27"/>
        <v>0.15600000000000003</v>
      </c>
      <c r="AM52" s="96">
        <f t="shared" si="41"/>
        <v>4.8104000000000005</v>
      </c>
      <c r="AN52" s="98">
        <f t="shared" si="28"/>
        <v>4.9664000000000001</v>
      </c>
      <c r="AO52" s="97">
        <f t="shared" si="42"/>
        <v>1.1826776859504135E-2</v>
      </c>
      <c r="AP52" s="96">
        <f t="shared" si="16"/>
        <v>0.29025000000000001</v>
      </c>
      <c r="AQ52" s="98">
        <f t="shared" si="29"/>
        <v>8.0999999999999996E-3</v>
      </c>
      <c r="AR52" s="97">
        <f t="shared" si="30"/>
        <v>8.9514983193170483</v>
      </c>
      <c r="AS52" s="96">
        <f t="shared" si="31"/>
        <v>28.800000000000004</v>
      </c>
      <c r="AT52" s="98">
        <f t="shared" si="32"/>
        <v>76.288362799267603</v>
      </c>
    </row>
    <row r="53" spans="17:46" x14ac:dyDescent="0.3">
      <c r="Q53" s="32">
        <v>46</v>
      </c>
      <c r="R53" s="97">
        <f t="shared" si="0"/>
        <v>12</v>
      </c>
      <c r="S53" s="96">
        <f t="shared" si="34"/>
        <v>2.4533333333333336</v>
      </c>
      <c r="T53" s="96">
        <f t="shared" si="2"/>
        <v>18</v>
      </c>
      <c r="U53" s="98">
        <f t="shared" si="35"/>
        <v>1.6355555555555559</v>
      </c>
      <c r="V53" s="97">
        <f t="shared" si="36"/>
        <v>2</v>
      </c>
      <c r="W53" s="96">
        <f t="shared" si="37"/>
        <v>0.4</v>
      </c>
      <c r="X53" s="98">
        <f t="shared" si="38"/>
        <v>0.6</v>
      </c>
      <c r="Y53" s="97">
        <f t="shared" si="18"/>
        <v>2.1818181818181821</v>
      </c>
      <c r="Z53" s="96">
        <f t="shared" si="33"/>
        <v>6.270707070707072</v>
      </c>
      <c r="AA53" s="96">
        <f t="shared" si="19"/>
        <v>1.7526369248035019</v>
      </c>
      <c r="AB53" s="96">
        <v>0</v>
      </c>
      <c r="AC53" s="96">
        <f t="shared" si="20"/>
        <v>3.0717361901846763E-2</v>
      </c>
      <c r="AD53" s="98">
        <f t="shared" si="21"/>
        <v>3.0717361901846763E-2</v>
      </c>
      <c r="AE53" s="97">
        <f t="shared" si="22"/>
        <v>1.6050251851851858</v>
      </c>
      <c r="AF53" s="96">
        <f t="shared" si="23"/>
        <v>1.7526369248035019</v>
      </c>
      <c r="AG53" s="96">
        <f t="shared" si="39"/>
        <v>1.3515639236812576E-2</v>
      </c>
      <c r="AH53" s="96">
        <f t="shared" si="40"/>
        <v>3.7432879120879132</v>
      </c>
      <c r="AI53" s="98">
        <f t="shared" si="24"/>
        <v>3.756803551324726</v>
      </c>
      <c r="AJ53" s="97">
        <f t="shared" si="25"/>
        <v>2.4533333333333336</v>
      </c>
      <c r="AK53" s="96">
        <f t="shared" si="26"/>
        <v>4.0418066252403966</v>
      </c>
      <c r="AL53" s="96">
        <f t="shared" si="27"/>
        <v>0.1594666666666667</v>
      </c>
      <c r="AM53" s="96">
        <f t="shared" si="41"/>
        <v>4.8104000000000005</v>
      </c>
      <c r="AN53" s="98">
        <f t="shared" si="28"/>
        <v>4.9698666666666673</v>
      </c>
      <c r="AO53" s="97">
        <f t="shared" si="42"/>
        <v>1.2286944760738704E-2</v>
      </c>
      <c r="AP53" s="96">
        <f t="shared" si="16"/>
        <v>0.29025000000000001</v>
      </c>
      <c r="AQ53" s="98">
        <f t="shared" si="29"/>
        <v>8.0999999999999996E-3</v>
      </c>
      <c r="AR53" s="97">
        <f t="shared" si="30"/>
        <v>9.0373071627521337</v>
      </c>
      <c r="AS53" s="96">
        <f t="shared" si="31"/>
        <v>29.440000000000005</v>
      </c>
      <c r="AT53" s="98">
        <f t="shared" si="32"/>
        <v>76.512630874801246</v>
      </c>
    </row>
    <row r="54" spans="17:46" x14ac:dyDescent="0.3">
      <c r="Q54" s="32">
        <v>47</v>
      </c>
      <c r="R54" s="97">
        <f t="shared" si="0"/>
        <v>12</v>
      </c>
      <c r="S54" s="96">
        <f t="shared" si="34"/>
        <v>2.5066666666666668</v>
      </c>
      <c r="T54" s="96">
        <f t="shared" si="2"/>
        <v>18</v>
      </c>
      <c r="U54" s="98">
        <f t="shared" si="35"/>
        <v>1.6711111111111112</v>
      </c>
      <c r="V54" s="97">
        <f t="shared" si="36"/>
        <v>2</v>
      </c>
      <c r="W54" s="96">
        <f t="shared" si="37"/>
        <v>0.4</v>
      </c>
      <c r="X54" s="98">
        <f t="shared" si="38"/>
        <v>0.6</v>
      </c>
      <c r="Y54" s="97">
        <f t="shared" si="18"/>
        <v>2.1818181818181821</v>
      </c>
      <c r="Z54" s="96">
        <f t="shared" si="33"/>
        <v>6.3595959595959606</v>
      </c>
      <c r="AA54" s="96">
        <f t="shared" si="19"/>
        <v>1.7858629736222893</v>
      </c>
      <c r="AB54" s="96">
        <v>0</v>
      </c>
      <c r="AC54" s="96">
        <f t="shared" si="20"/>
        <v>3.1893065605550455E-2</v>
      </c>
      <c r="AD54" s="98">
        <f t="shared" si="21"/>
        <v>3.1893065605550455E-2</v>
      </c>
      <c r="AE54" s="97">
        <f t="shared" si="22"/>
        <v>1.6755674074074076</v>
      </c>
      <c r="AF54" s="96">
        <f t="shared" si="23"/>
        <v>1.7858629736222893</v>
      </c>
      <c r="AG54" s="96">
        <f t="shared" si="39"/>
        <v>1.4032948866442203E-2</v>
      </c>
      <c r="AH54" s="96">
        <f t="shared" si="40"/>
        <v>3.8246637362637368</v>
      </c>
      <c r="AI54" s="98">
        <f t="shared" si="24"/>
        <v>3.8386966851301789</v>
      </c>
      <c r="AJ54" s="97">
        <f t="shared" si="25"/>
        <v>2.5066666666666668</v>
      </c>
      <c r="AK54" s="96">
        <f t="shared" si="26"/>
        <v>4.1101646343047733</v>
      </c>
      <c r="AL54" s="96">
        <f t="shared" si="27"/>
        <v>0.16293333333333335</v>
      </c>
      <c r="AM54" s="96">
        <f t="shared" si="41"/>
        <v>4.8104000000000005</v>
      </c>
      <c r="AN54" s="98">
        <f t="shared" si="28"/>
        <v>4.9733333333333336</v>
      </c>
      <c r="AO54" s="97">
        <f t="shared" si="42"/>
        <v>1.2757226242220183E-2</v>
      </c>
      <c r="AP54" s="96">
        <f t="shared" si="16"/>
        <v>0.29025000000000001</v>
      </c>
      <c r="AQ54" s="98">
        <f t="shared" si="29"/>
        <v>8.0999999999999996E-3</v>
      </c>
      <c r="AR54" s="97">
        <f t="shared" si="30"/>
        <v>9.1231372447057328</v>
      </c>
      <c r="AS54" s="96">
        <f t="shared" si="31"/>
        <v>30.080000000000002</v>
      </c>
      <c r="AT54" s="98">
        <f t="shared" si="32"/>
        <v>76.728553156959947</v>
      </c>
    </row>
    <row r="55" spans="17:46" x14ac:dyDescent="0.3">
      <c r="Q55" s="32">
        <v>48</v>
      </c>
      <c r="R55" s="97">
        <f t="shared" si="0"/>
        <v>12</v>
      </c>
      <c r="S55" s="96">
        <f t="shared" si="34"/>
        <v>2.56</v>
      </c>
      <c r="T55" s="96">
        <f t="shared" si="2"/>
        <v>18</v>
      </c>
      <c r="U55" s="98">
        <f t="shared" si="35"/>
        <v>1.7066666666666666</v>
      </c>
      <c r="V55" s="97">
        <f t="shared" si="36"/>
        <v>2</v>
      </c>
      <c r="W55" s="96">
        <f t="shared" si="37"/>
        <v>0.4</v>
      </c>
      <c r="X55" s="98">
        <f t="shared" si="38"/>
        <v>0.6</v>
      </c>
      <c r="Y55" s="97">
        <f t="shared" si="18"/>
        <v>2.1818181818181821</v>
      </c>
      <c r="Z55" s="96">
        <f t="shared" si="33"/>
        <v>6.4484848484848492</v>
      </c>
      <c r="AA55" s="96">
        <f t="shared" si="19"/>
        <v>1.8191771013255262</v>
      </c>
      <c r="AB55" s="96">
        <v>0</v>
      </c>
      <c r="AC55" s="96">
        <f t="shared" si="20"/>
        <v>3.3094053259871442E-2</v>
      </c>
      <c r="AD55" s="98">
        <f t="shared" si="21"/>
        <v>3.3094053259871442E-2</v>
      </c>
      <c r="AE55" s="97">
        <f t="shared" si="22"/>
        <v>1.7476266666666669</v>
      </c>
      <c r="AF55" s="96">
        <f t="shared" si="23"/>
        <v>1.8191771013255262</v>
      </c>
      <c r="AG55" s="96">
        <f t="shared" si="39"/>
        <v>1.4561383434343433E-2</v>
      </c>
      <c r="AH55" s="96">
        <f t="shared" si="40"/>
        <v>3.9060395604395608</v>
      </c>
      <c r="AI55" s="98">
        <f t="shared" si="24"/>
        <v>3.9206009438739042</v>
      </c>
      <c r="AJ55" s="97">
        <f t="shared" si="25"/>
        <v>2.56</v>
      </c>
      <c r="AK55" s="96">
        <f t="shared" si="26"/>
        <v>4.1785388986850052</v>
      </c>
      <c r="AL55" s="96">
        <f t="shared" si="27"/>
        <v>0.16640000000000002</v>
      </c>
      <c r="AM55" s="96">
        <f t="shared" si="41"/>
        <v>4.8104000000000005</v>
      </c>
      <c r="AN55" s="98">
        <f t="shared" si="28"/>
        <v>4.9768000000000008</v>
      </c>
      <c r="AO55" s="97">
        <f t="shared" si="42"/>
        <v>1.3237621303948576E-2</v>
      </c>
      <c r="AP55" s="96">
        <f t="shared" si="16"/>
        <v>0.29025000000000001</v>
      </c>
      <c r="AQ55" s="98">
        <f t="shared" si="29"/>
        <v>8.0999999999999996E-3</v>
      </c>
      <c r="AR55" s="97">
        <f t="shared" si="30"/>
        <v>9.2089885651778545</v>
      </c>
      <c r="AS55" s="96">
        <f t="shared" si="31"/>
        <v>30.72</v>
      </c>
      <c r="AT55" s="98">
        <f t="shared" si="32"/>
        <v>76.936584431269495</v>
      </c>
    </row>
    <row r="56" spans="17:46" x14ac:dyDescent="0.3">
      <c r="Q56" s="32">
        <v>49</v>
      </c>
      <c r="R56" s="97">
        <f t="shared" si="0"/>
        <v>12</v>
      </c>
      <c r="S56" s="96">
        <f t="shared" si="34"/>
        <v>2.6133333333333333</v>
      </c>
      <c r="T56" s="96">
        <f t="shared" si="2"/>
        <v>18</v>
      </c>
      <c r="U56" s="98">
        <f t="shared" si="35"/>
        <v>1.7422222222222221</v>
      </c>
      <c r="V56" s="97">
        <f t="shared" si="36"/>
        <v>2</v>
      </c>
      <c r="W56" s="96">
        <f t="shared" si="37"/>
        <v>0.4</v>
      </c>
      <c r="X56" s="98">
        <f t="shared" si="38"/>
        <v>0.6</v>
      </c>
      <c r="Y56" s="97">
        <f t="shared" si="18"/>
        <v>2.1818181818181821</v>
      </c>
      <c r="Z56" s="96">
        <f t="shared" si="33"/>
        <v>6.5373737373737377</v>
      </c>
      <c r="AA56" s="96">
        <f t="shared" si="19"/>
        <v>1.8525745562543416</v>
      </c>
      <c r="AB56" s="96">
        <v>0</v>
      </c>
      <c r="AC56" s="96">
        <f t="shared" si="20"/>
        <v>3.4320324864809709E-2</v>
      </c>
      <c r="AD56" s="98">
        <f t="shared" si="21"/>
        <v>3.4320324864809709E-2</v>
      </c>
      <c r="AE56" s="97">
        <f t="shared" si="22"/>
        <v>1.8212029629629631</v>
      </c>
      <c r="AF56" s="96">
        <f t="shared" si="23"/>
        <v>1.8525745562543416</v>
      </c>
      <c r="AG56" s="96">
        <f t="shared" si="39"/>
        <v>1.5100942940516273E-2</v>
      </c>
      <c r="AH56" s="96">
        <f t="shared" si="40"/>
        <v>3.9874153846153848</v>
      </c>
      <c r="AI56" s="98">
        <f t="shared" si="24"/>
        <v>4.0025163275559015</v>
      </c>
      <c r="AJ56" s="97">
        <f t="shared" si="25"/>
        <v>2.6133333333333333</v>
      </c>
      <c r="AK56" s="96">
        <f t="shared" si="26"/>
        <v>4.2469286332641829</v>
      </c>
      <c r="AL56" s="96">
        <f t="shared" si="27"/>
        <v>0.16986666666666667</v>
      </c>
      <c r="AM56" s="96">
        <f t="shared" si="41"/>
        <v>4.8104000000000005</v>
      </c>
      <c r="AN56" s="98">
        <f t="shared" si="28"/>
        <v>4.9802666666666671</v>
      </c>
      <c r="AO56" s="97">
        <f t="shared" si="42"/>
        <v>1.3728129945923885E-2</v>
      </c>
      <c r="AP56" s="96">
        <f t="shared" si="16"/>
        <v>0.29025000000000001</v>
      </c>
      <c r="AQ56" s="98">
        <f t="shared" si="29"/>
        <v>8.0999999999999996E-3</v>
      </c>
      <c r="AR56" s="97">
        <f t="shared" si="30"/>
        <v>9.2948611241684933</v>
      </c>
      <c r="AS56" s="96">
        <f t="shared" si="31"/>
        <v>31.36</v>
      </c>
      <c r="AT56" s="98">
        <f t="shared" si="32"/>
        <v>77.137147029527341</v>
      </c>
    </row>
    <row r="57" spans="17:46" x14ac:dyDescent="0.3">
      <c r="Q57" s="32">
        <v>50</v>
      </c>
      <c r="R57" s="97">
        <f t="shared" si="0"/>
        <v>12</v>
      </c>
      <c r="S57" s="96">
        <f t="shared" si="34"/>
        <v>2.666666666666667</v>
      </c>
      <c r="T57" s="96">
        <f t="shared" si="2"/>
        <v>18</v>
      </c>
      <c r="U57" s="98">
        <f t="shared" si="35"/>
        <v>1.7777777777777777</v>
      </c>
      <c r="V57" s="97">
        <f t="shared" si="36"/>
        <v>2</v>
      </c>
      <c r="W57" s="96">
        <f t="shared" si="37"/>
        <v>0.4</v>
      </c>
      <c r="X57" s="98">
        <f t="shared" si="38"/>
        <v>0.6</v>
      </c>
      <c r="Y57" s="97">
        <f t="shared" si="18"/>
        <v>2.1818181818181821</v>
      </c>
      <c r="Z57" s="96">
        <f t="shared" si="33"/>
        <v>6.6262626262626263</v>
      </c>
      <c r="AA57" s="96">
        <f t="shared" si="19"/>
        <v>1.8860509118357667</v>
      </c>
      <c r="AB57" s="96">
        <v>0</v>
      </c>
      <c r="AC57" s="96">
        <f t="shared" si="20"/>
        <v>3.5571880420365271E-2</v>
      </c>
      <c r="AD57" s="98">
        <f t="shared" si="21"/>
        <v>3.5571880420365271E-2</v>
      </c>
      <c r="AE57" s="97">
        <f t="shared" si="22"/>
        <v>1.8962962962962966</v>
      </c>
      <c r="AF57" s="96">
        <f t="shared" si="23"/>
        <v>1.8860509118357667</v>
      </c>
      <c r="AG57" s="96">
        <f t="shared" si="39"/>
        <v>1.5651627384960717E-2</v>
      </c>
      <c r="AH57" s="96">
        <f t="shared" si="40"/>
        <v>4.0687912087912093</v>
      </c>
      <c r="AI57" s="98">
        <f t="shared" si="24"/>
        <v>4.0844428361761702</v>
      </c>
      <c r="AJ57" s="97">
        <f t="shared" si="25"/>
        <v>2.666666666666667</v>
      </c>
      <c r="AK57" s="96">
        <f t="shared" si="26"/>
        <v>4.3153331025236215</v>
      </c>
      <c r="AL57" s="96">
        <f t="shared" si="27"/>
        <v>0.17333333333333337</v>
      </c>
      <c r="AM57" s="96">
        <f t="shared" si="41"/>
        <v>4.8104000000000005</v>
      </c>
      <c r="AN57" s="98">
        <f t="shared" si="28"/>
        <v>4.9837333333333342</v>
      </c>
      <c r="AO57" s="97">
        <f t="shared" si="42"/>
        <v>1.4228752168146107E-2</v>
      </c>
      <c r="AP57" s="96">
        <f t="shared" si="16"/>
        <v>0.29025000000000001</v>
      </c>
      <c r="AQ57" s="98">
        <f t="shared" si="29"/>
        <v>8.0999999999999996E-3</v>
      </c>
      <c r="AR57" s="97">
        <f t="shared" si="30"/>
        <v>9.3807549216776511</v>
      </c>
      <c r="AS57" s="96">
        <f t="shared" si="31"/>
        <v>32</v>
      </c>
      <c r="AT57" s="98">
        <f t="shared" si="32"/>
        <v>77.330633673955845</v>
      </c>
    </row>
    <row r="58" spans="17:46" x14ac:dyDescent="0.3">
      <c r="Q58" s="32">
        <v>51</v>
      </c>
      <c r="R58" s="97">
        <f t="shared" si="0"/>
        <v>12</v>
      </c>
      <c r="S58" s="96">
        <f t="shared" si="34"/>
        <v>2.72</v>
      </c>
      <c r="T58" s="96">
        <f t="shared" si="2"/>
        <v>18</v>
      </c>
      <c r="U58" s="98">
        <f t="shared" si="35"/>
        <v>1.8133333333333335</v>
      </c>
      <c r="V58" s="97">
        <f t="shared" si="36"/>
        <v>2</v>
      </c>
      <c r="W58" s="96">
        <f t="shared" si="37"/>
        <v>0.4</v>
      </c>
      <c r="X58" s="98">
        <f t="shared" si="38"/>
        <v>0.6</v>
      </c>
      <c r="Y58" s="97">
        <f t="shared" si="18"/>
        <v>2.1818181818181821</v>
      </c>
      <c r="Z58" s="96">
        <f t="shared" si="33"/>
        <v>6.7151515151515149</v>
      </c>
      <c r="AA58" s="96">
        <f t="shared" si="19"/>
        <v>1.9196020401775498</v>
      </c>
      <c r="AB58" s="96">
        <v>0</v>
      </c>
      <c r="AC58" s="96">
        <f t="shared" si="20"/>
        <v>3.6848719926538112E-2</v>
      </c>
      <c r="AD58" s="98">
        <f t="shared" si="21"/>
        <v>3.6848719926538112E-2</v>
      </c>
      <c r="AE58" s="97">
        <f t="shared" si="22"/>
        <v>1.9729066666666668</v>
      </c>
      <c r="AF58" s="96">
        <f t="shared" si="23"/>
        <v>1.9196020401775498</v>
      </c>
      <c r="AG58" s="96">
        <f t="shared" si="39"/>
        <v>1.6213436767676771E-2</v>
      </c>
      <c r="AH58" s="96">
        <f t="shared" si="40"/>
        <v>4.1501670329670333</v>
      </c>
      <c r="AI58" s="98">
        <f t="shared" si="24"/>
        <v>4.16638046973471</v>
      </c>
      <c r="AJ58" s="97">
        <f t="shared" si="25"/>
        <v>2.72</v>
      </c>
      <c r="AK58" s="96">
        <f t="shared" si="26"/>
        <v>4.3837516166993993</v>
      </c>
      <c r="AL58" s="96">
        <f t="shared" si="27"/>
        <v>0.17680000000000001</v>
      </c>
      <c r="AM58" s="96">
        <f t="shared" si="41"/>
        <v>4.8104000000000005</v>
      </c>
      <c r="AN58" s="98">
        <f t="shared" si="28"/>
        <v>4.9872000000000005</v>
      </c>
      <c r="AO58" s="97">
        <f t="shared" si="42"/>
        <v>1.4739487970615245E-2</v>
      </c>
      <c r="AP58" s="96">
        <f t="shared" si="16"/>
        <v>0.29025000000000001</v>
      </c>
      <c r="AQ58" s="98">
        <f t="shared" si="29"/>
        <v>8.0999999999999996E-3</v>
      </c>
      <c r="AR58" s="97">
        <f t="shared" si="30"/>
        <v>9.4666699577053262</v>
      </c>
      <c r="AS58" s="96">
        <f t="shared" si="31"/>
        <v>32.64</v>
      </c>
      <c r="AT58" s="98">
        <f t="shared" si="32"/>
        <v>77.517410027403571</v>
      </c>
    </row>
    <row r="59" spans="17:46" x14ac:dyDescent="0.3">
      <c r="Q59" s="32">
        <v>52</v>
      </c>
      <c r="R59" s="97">
        <f t="shared" si="0"/>
        <v>12</v>
      </c>
      <c r="S59" s="96">
        <f t="shared" si="34"/>
        <v>2.7733333333333334</v>
      </c>
      <c r="T59" s="96">
        <f t="shared" si="2"/>
        <v>18</v>
      </c>
      <c r="U59" s="98">
        <f t="shared" si="35"/>
        <v>1.848888888888889</v>
      </c>
      <c r="V59" s="97">
        <f t="shared" si="36"/>
        <v>2</v>
      </c>
      <c r="W59" s="96">
        <f t="shared" si="37"/>
        <v>0.4</v>
      </c>
      <c r="X59" s="98">
        <f t="shared" si="38"/>
        <v>0.6</v>
      </c>
      <c r="Y59" s="97">
        <f t="shared" si="18"/>
        <v>2.1818181818181821</v>
      </c>
      <c r="Z59" s="96">
        <f t="shared" si="33"/>
        <v>6.8040404040404052</v>
      </c>
      <c r="AA59" s="96">
        <f t="shared" si="19"/>
        <v>1.9532240880996792</v>
      </c>
      <c r="AB59" s="96">
        <v>0</v>
      </c>
      <c r="AC59" s="96">
        <f t="shared" si="20"/>
        <v>3.8150843383328234E-2</v>
      </c>
      <c r="AD59" s="98">
        <f t="shared" si="21"/>
        <v>3.8150843383328234E-2</v>
      </c>
      <c r="AE59" s="97">
        <f t="shared" si="22"/>
        <v>2.0510340740740745</v>
      </c>
      <c r="AF59" s="96">
        <f t="shared" si="23"/>
        <v>1.9532240880996792</v>
      </c>
      <c r="AG59" s="96">
        <f t="shared" si="39"/>
        <v>1.6786371088664424E-2</v>
      </c>
      <c r="AH59" s="96">
        <f t="shared" si="40"/>
        <v>4.2315428571428582</v>
      </c>
      <c r="AI59" s="98">
        <f t="shared" si="24"/>
        <v>4.2483292282315226</v>
      </c>
      <c r="AJ59" s="97">
        <f t="shared" si="25"/>
        <v>2.7733333333333334</v>
      </c>
      <c r="AK59" s="96">
        <f t="shared" si="26"/>
        <v>4.4521835282897468</v>
      </c>
      <c r="AL59" s="96">
        <f t="shared" si="27"/>
        <v>0.18026666666666669</v>
      </c>
      <c r="AM59" s="96">
        <f t="shared" si="41"/>
        <v>4.8104000000000005</v>
      </c>
      <c r="AN59" s="98">
        <f t="shared" si="28"/>
        <v>4.9906666666666668</v>
      </c>
      <c r="AO59" s="97">
        <f t="shared" si="42"/>
        <v>1.5260337353331294E-2</v>
      </c>
      <c r="AP59" s="96">
        <f t="shared" si="16"/>
        <v>0.29025000000000001</v>
      </c>
      <c r="AQ59" s="98">
        <f t="shared" si="29"/>
        <v>8.0999999999999996E-3</v>
      </c>
      <c r="AR59" s="97">
        <f t="shared" si="30"/>
        <v>9.5526062322515219</v>
      </c>
      <c r="AS59" s="96">
        <f t="shared" si="31"/>
        <v>33.28</v>
      </c>
      <c r="AT59" s="98">
        <f t="shared" si="32"/>
        <v>77.697816984438532</v>
      </c>
    </row>
    <row r="60" spans="17:46" x14ac:dyDescent="0.3">
      <c r="Q60" s="32">
        <v>53</v>
      </c>
      <c r="R60" s="97">
        <f t="shared" si="0"/>
        <v>12</v>
      </c>
      <c r="S60" s="96">
        <f t="shared" si="34"/>
        <v>2.8266666666666667</v>
      </c>
      <c r="T60" s="96">
        <f t="shared" si="2"/>
        <v>18</v>
      </c>
      <c r="U60" s="98">
        <f t="shared" si="35"/>
        <v>1.8844444444444446</v>
      </c>
      <c r="V60" s="97">
        <f t="shared" si="36"/>
        <v>2</v>
      </c>
      <c r="W60" s="96">
        <f t="shared" si="37"/>
        <v>0.4</v>
      </c>
      <c r="X60" s="98">
        <f t="shared" si="38"/>
        <v>0.6</v>
      </c>
      <c r="Y60" s="97">
        <f t="shared" si="18"/>
        <v>2.1818181818181821</v>
      </c>
      <c r="Z60" s="96">
        <f t="shared" si="33"/>
        <v>6.8929292929292938</v>
      </c>
      <c r="AA60" s="96">
        <f t="shared" si="19"/>
        <v>1.9869134553557093</v>
      </c>
      <c r="AB60" s="96">
        <v>0</v>
      </c>
      <c r="AC60" s="96">
        <f t="shared" si="20"/>
        <v>3.9478250790735643E-2</v>
      </c>
      <c r="AD60" s="98">
        <f t="shared" si="21"/>
        <v>3.9478250790735643E-2</v>
      </c>
      <c r="AE60" s="97">
        <f t="shared" si="22"/>
        <v>2.1306785185185189</v>
      </c>
      <c r="AF60" s="96">
        <f t="shared" si="23"/>
        <v>1.9869134553557093</v>
      </c>
      <c r="AG60" s="96">
        <f t="shared" si="39"/>
        <v>1.7370430347923682E-2</v>
      </c>
      <c r="AH60" s="96">
        <f t="shared" si="40"/>
        <v>4.3129186813186822</v>
      </c>
      <c r="AI60" s="98">
        <f t="shared" si="24"/>
        <v>4.3302891116666062</v>
      </c>
      <c r="AJ60" s="97">
        <f t="shared" si="25"/>
        <v>2.8266666666666667</v>
      </c>
      <c r="AK60" s="96">
        <f t="shared" si="26"/>
        <v>4.5206282288765962</v>
      </c>
      <c r="AL60" s="96">
        <f t="shared" si="27"/>
        <v>0.18373333333333333</v>
      </c>
      <c r="AM60" s="96">
        <f t="shared" si="41"/>
        <v>4.8104000000000005</v>
      </c>
      <c r="AN60" s="98">
        <f t="shared" si="28"/>
        <v>4.994133333333334</v>
      </c>
      <c r="AO60" s="97">
        <f t="shared" si="42"/>
        <v>1.5791300316294256E-2</v>
      </c>
      <c r="AP60" s="96">
        <f t="shared" si="16"/>
        <v>0.29025000000000001</v>
      </c>
      <c r="AQ60" s="98">
        <f t="shared" si="29"/>
        <v>8.0999999999999996E-3</v>
      </c>
      <c r="AR60" s="97">
        <f t="shared" si="30"/>
        <v>9.6385637453162349</v>
      </c>
      <c r="AS60" s="96">
        <f t="shared" si="31"/>
        <v>33.92</v>
      </c>
      <c r="AT60" s="98">
        <f t="shared" si="32"/>
        <v>77.872172733535891</v>
      </c>
    </row>
    <row r="61" spans="17:46" x14ac:dyDescent="0.3">
      <c r="Q61" s="32">
        <v>54</v>
      </c>
      <c r="R61" s="97">
        <f t="shared" si="0"/>
        <v>12</v>
      </c>
      <c r="S61" s="96">
        <f t="shared" si="34"/>
        <v>2.8800000000000003</v>
      </c>
      <c r="T61" s="96">
        <f t="shared" si="2"/>
        <v>18</v>
      </c>
      <c r="U61" s="98">
        <f t="shared" si="35"/>
        <v>1.9200000000000002</v>
      </c>
      <c r="V61" s="97">
        <f t="shared" si="36"/>
        <v>2</v>
      </c>
      <c r="W61" s="96">
        <f t="shared" si="37"/>
        <v>0.4</v>
      </c>
      <c r="X61" s="98">
        <f t="shared" si="38"/>
        <v>0.6</v>
      </c>
      <c r="Y61" s="97">
        <f t="shared" si="18"/>
        <v>2.1818181818181821</v>
      </c>
      <c r="Z61" s="96">
        <f t="shared" si="33"/>
        <v>6.9818181818181824</v>
      </c>
      <c r="AA61" s="96">
        <f t="shared" si="19"/>
        <v>2.020666774823606</v>
      </c>
      <c r="AB61" s="96">
        <v>0</v>
      </c>
      <c r="AC61" s="96">
        <f t="shared" si="20"/>
        <v>4.0830942148760332E-2</v>
      </c>
      <c r="AD61" s="98">
        <f t="shared" si="21"/>
        <v>4.0830942148760332E-2</v>
      </c>
      <c r="AE61" s="97">
        <f t="shared" si="22"/>
        <v>2.2118400000000005</v>
      </c>
      <c r="AF61" s="96">
        <f t="shared" si="23"/>
        <v>2.020666774823606</v>
      </c>
      <c r="AG61" s="96">
        <f t="shared" si="39"/>
        <v>1.7965614545454547E-2</v>
      </c>
      <c r="AH61" s="96">
        <f t="shared" si="40"/>
        <v>4.3942945054945071</v>
      </c>
      <c r="AI61" s="98">
        <f t="shared" si="24"/>
        <v>4.4122601200399618</v>
      </c>
      <c r="AJ61" s="97">
        <f t="shared" si="25"/>
        <v>2.8800000000000003</v>
      </c>
      <c r="AK61" s="96">
        <f t="shared" si="26"/>
        <v>4.5890851462289133</v>
      </c>
      <c r="AL61" s="96">
        <f t="shared" si="27"/>
        <v>0.18720000000000003</v>
      </c>
      <c r="AM61" s="96">
        <f t="shared" si="41"/>
        <v>4.8104000000000005</v>
      </c>
      <c r="AN61" s="98">
        <f t="shared" si="28"/>
        <v>4.9976000000000003</v>
      </c>
      <c r="AO61" s="97">
        <f t="shared" si="42"/>
        <v>1.6332376859504134E-2</v>
      </c>
      <c r="AP61" s="96">
        <f t="shared" si="16"/>
        <v>0.29025000000000001</v>
      </c>
      <c r="AQ61" s="98">
        <f t="shared" si="29"/>
        <v>8.0999999999999996E-3</v>
      </c>
      <c r="AR61" s="97">
        <f t="shared" si="30"/>
        <v>9.7245424968994669</v>
      </c>
      <c r="AS61" s="96">
        <f t="shared" si="31"/>
        <v>34.56</v>
      </c>
      <c r="AT61" s="98">
        <f t="shared" si="32"/>
        <v>78.040774616605063</v>
      </c>
    </row>
    <row r="62" spans="17:46" x14ac:dyDescent="0.3">
      <c r="Q62" s="32">
        <v>55</v>
      </c>
      <c r="R62" s="97">
        <f t="shared" si="0"/>
        <v>12</v>
      </c>
      <c r="S62" s="96">
        <f t="shared" si="34"/>
        <v>2.9333333333333336</v>
      </c>
      <c r="T62" s="96">
        <f t="shared" si="2"/>
        <v>18</v>
      </c>
      <c r="U62" s="98">
        <f t="shared" si="35"/>
        <v>1.9555555555555557</v>
      </c>
      <c r="V62" s="97">
        <f t="shared" si="36"/>
        <v>2</v>
      </c>
      <c r="W62" s="96">
        <f t="shared" si="37"/>
        <v>0.4</v>
      </c>
      <c r="X62" s="98">
        <f t="shared" si="38"/>
        <v>0.6</v>
      </c>
      <c r="Y62" s="97">
        <f t="shared" si="18"/>
        <v>2.1818181818181821</v>
      </c>
      <c r="Z62" s="96">
        <f t="shared" si="33"/>
        <v>7.0707070707070709</v>
      </c>
      <c r="AA62" s="96">
        <f t="shared" si="19"/>
        <v>2.0544808944695085</v>
      </c>
      <c r="AB62" s="96">
        <v>0</v>
      </c>
      <c r="AC62" s="96">
        <f t="shared" si="20"/>
        <v>4.2208917457402323E-2</v>
      </c>
      <c r="AD62" s="98">
        <f t="shared" si="21"/>
        <v>4.2208917457402323E-2</v>
      </c>
      <c r="AE62" s="97">
        <f t="shared" si="22"/>
        <v>2.2945185185185188</v>
      </c>
      <c r="AF62" s="96">
        <f t="shared" si="23"/>
        <v>2.0544808944695085</v>
      </c>
      <c r="AG62" s="96">
        <f t="shared" si="39"/>
        <v>1.8571923681257024E-2</v>
      </c>
      <c r="AH62" s="96">
        <f t="shared" si="40"/>
        <v>4.4756703296703311</v>
      </c>
      <c r="AI62" s="98">
        <f t="shared" si="24"/>
        <v>4.4942422533515884</v>
      </c>
      <c r="AJ62" s="97">
        <f t="shared" si="25"/>
        <v>2.9333333333333336</v>
      </c>
      <c r="AK62" s="96">
        <f t="shared" si="26"/>
        <v>4.6575537416591573</v>
      </c>
      <c r="AL62" s="96">
        <f t="shared" si="27"/>
        <v>0.19066666666666668</v>
      </c>
      <c r="AM62" s="96">
        <f t="shared" si="41"/>
        <v>4.8104000000000005</v>
      </c>
      <c r="AN62" s="98">
        <f t="shared" si="28"/>
        <v>5.0010666666666674</v>
      </c>
      <c r="AO62" s="97">
        <f t="shared" si="42"/>
        <v>1.6883566982960931E-2</v>
      </c>
      <c r="AP62" s="96">
        <f t="shared" si="16"/>
        <v>0.29025000000000001</v>
      </c>
      <c r="AQ62" s="98">
        <f t="shared" si="29"/>
        <v>8.0999999999999996E-3</v>
      </c>
      <c r="AR62" s="97">
        <f t="shared" si="30"/>
        <v>9.8105424870012179</v>
      </c>
      <c r="AS62" s="96">
        <f t="shared" si="31"/>
        <v>35.200000000000003</v>
      </c>
      <c r="AT62" s="98">
        <f t="shared" si="32"/>
        <v>78.203900808717336</v>
      </c>
    </row>
    <row r="63" spans="17:46" x14ac:dyDescent="0.3">
      <c r="Q63" s="32">
        <v>56</v>
      </c>
      <c r="R63" s="97">
        <f t="shared" si="0"/>
        <v>12</v>
      </c>
      <c r="S63" s="96">
        <f t="shared" si="34"/>
        <v>2.9866666666666668</v>
      </c>
      <c r="T63" s="96">
        <f t="shared" si="2"/>
        <v>18</v>
      </c>
      <c r="U63" s="98">
        <f t="shared" si="35"/>
        <v>1.9911111111111113</v>
      </c>
      <c r="V63" s="97">
        <f t="shared" si="36"/>
        <v>2</v>
      </c>
      <c r="W63" s="96">
        <f t="shared" si="37"/>
        <v>0.4</v>
      </c>
      <c r="X63" s="98">
        <f t="shared" si="38"/>
        <v>0.6</v>
      </c>
      <c r="Y63" s="97">
        <f t="shared" si="18"/>
        <v>2.1818181818181821</v>
      </c>
      <c r="Z63" s="96">
        <f t="shared" si="33"/>
        <v>7.1595959595959595</v>
      </c>
      <c r="AA63" s="96">
        <f t="shared" si="19"/>
        <v>2.0883528609088451</v>
      </c>
      <c r="AB63" s="96">
        <v>0</v>
      </c>
      <c r="AC63" s="96">
        <f t="shared" si="20"/>
        <v>4.361217671666158E-2</v>
      </c>
      <c r="AD63" s="98">
        <f t="shared" si="21"/>
        <v>4.361217671666158E-2</v>
      </c>
      <c r="AE63" s="97">
        <f t="shared" si="22"/>
        <v>2.3787140740740744</v>
      </c>
      <c r="AF63" s="96">
        <f t="shared" si="23"/>
        <v>2.0883528609088451</v>
      </c>
      <c r="AG63" s="96">
        <f t="shared" si="39"/>
        <v>1.9189357755331097E-2</v>
      </c>
      <c r="AH63" s="96">
        <f t="shared" si="40"/>
        <v>4.5570461538461551</v>
      </c>
      <c r="AI63" s="98">
        <f t="shared" si="24"/>
        <v>4.5762355116014861</v>
      </c>
      <c r="AJ63" s="97">
        <f t="shared" si="25"/>
        <v>2.9866666666666668</v>
      </c>
      <c r="AK63" s="96">
        <f t="shared" si="26"/>
        <v>4.7260335076075242</v>
      </c>
      <c r="AL63" s="96">
        <f t="shared" si="27"/>
        <v>0.19413333333333335</v>
      </c>
      <c r="AM63" s="96">
        <f t="shared" si="41"/>
        <v>4.8104000000000005</v>
      </c>
      <c r="AN63" s="98">
        <f t="shared" si="28"/>
        <v>5.0045333333333337</v>
      </c>
      <c r="AO63" s="97">
        <f t="shared" si="42"/>
        <v>1.7444870686664633E-2</v>
      </c>
      <c r="AP63" s="96">
        <f t="shared" si="16"/>
        <v>0.29025000000000001</v>
      </c>
      <c r="AQ63" s="98">
        <f t="shared" si="29"/>
        <v>8.0999999999999996E-3</v>
      </c>
      <c r="AR63" s="97">
        <f t="shared" si="30"/>
        <v>9.8965637156214843</v>
      </c>
      <c r="AS63" s="96">
        <f t="shared" si="31"/>
        <v>35.840000000000003</v>
      </c>
      <c r="AT63" s="98">
        <f t="shared" si="32"/>
        <v>78.361811837994992</v>
      </c>
    </row>
    <row r="64" spans="17:46" x14ac:dyDescent="0.3">
      <c r="Q64" s="32">
        <v>57</v>
      </c>
      <c r="R64" s="97">
        <f t="shared" si="0"/>
        <v>12</v>
      </c>
      <c r="S64" s="96">
        <f t="shared" si="34"/>
        <v>3.04</v>
      </c>
      <c r="T64" s="96">
        <f t="shared" si="2"/>
        <v>18</v>
      </c>
      <c r="U64" s="98">
        <f t="shared" si="35"/>
        <v>2.0266666666666668</v>
      </c>
      <c r="V64" s="97">
        <f t="shared" si="36"/>
        <v>2</v>
      </c>
      <c r="W64" s="96">
        <f t="shared" si="37"/>
        <v>0.4</v>
      </c>
      <c r="X64" s="98">
        <f t="shared" si="38"/>
        <v>0.6</v>
      </c>
      <c r="Y64" s="97">
        <f t="shared" si="18"/>
        <v>2.1818181818181821</v>
      </c>
      <c r="Z64" s="96">
        <f t="shared" si="33"/>
        <v>7.2484848484848481</v>
      </c>
      <c r="AA64" s="96">
        <f t="shared" si="19"/>
        <v>2.1222799044079488</v>
      </c>
      <c r="AB64" s="96">
        <v>0</v>
      </c>
      <c r="AC64" s="96">
        <f t="shared" si="20"/>
        <v>4.5040719926538124E-2</v>
      </c>
      <c r="AD64" s="98">
        <f t="shared" si="21"/>
        <v>4.5040719926538124E-2</v>
      </c>
      <c r="AE64" s="97">
        <f t="shared" si="22"/>
        <v>2.4644266666666672</v>
      </c>
      <c r="AF64" s="96">
        <f t="shared" si="23"/>
        <v>2.1222799044079488</v>
      </c>
      <c r="AG64" s="96">
        <f t="shared" si="39"/>
        <v>1.9817916767676774E-2</v>
      </c>
      <c r="AH64" s="96">
        <f t="shared" si="40"/>
        <v>4.6384219780219782</v>
      </c>
      <c r="AI64" s="98">
        <f t="shared" si="24"/>
        <v>4.6582398947896548</v>
      </c>
      <c r="AJ64" s="97">
        <f t="shared" si="25"/>
        <v>3.04</v>
      </c>
      <c r="AK64" s="96">
        <f t="shared" si="26"/>
        <v>4.7945239654314395</v>
      </c>
      <c r="AL64" s="96">
        <f t="shared" si="27"/>
        <v>0.1976</v>
      </c>
      <c r="AM64" s="96">
        <f t="shared" si="41"/>
        <v>4.8104000000000005</v>
      </c>
      <c r="AN64" s="98">
        <f t="shared" si="28"/>
        <v>5.0080000000000009</v>
      </c>
      <c r="AO64" s="97">
        <f t="shared" si="42"/>
        <v>1.801628797061525E-2</v>
      </c>
      <c r="AP64" s="96">
        <f t="shared" si="16"/>
        <v>0.29025000000000001</v>
      </c>
      <c r="AQ64" s="98">
        <f t="shared" si="29"/>
        <v>8.0999999999999996E-3</v>
      </c>
      <c r="AR64" s="97">
        <f t="shared" si="30"/>
        <v>9.9826061827602732</v>
      </c>
      <c r="AS64" s="96">
        <f t="shared" si="31"/>
        <v>36.480000000000004</v>
      </c>
      <c r="AT64" s="98">
        <f t="shared" si="32"/>
        <v>78.514751963129726</v>
      </c>
    </row>
    <row r="65" spans="17:46" x14ac:dyDescent="0.3">
      <c r="Q65" s="32">
        <v>58</v>
      </c>
      <c r="R65" s="97">
        <f t="shared" si="0"/>
        <v>12</v>
      </c>
      <c r="S65" s="96">
        <f t="shared" si="34"/>
        <v>3.0933333333333337</v>
      </c>
      <c r="T65" s="96">
        <f t="shared" si="2"/>
        <v>18</v>
      </c>
      <c r="U65" s="98">
        <f t="shared" si="35"/>
        <v>2.0622222222222226</v>
      </c>
      <c r="V65" s="97">
        <f t="shared" si="36"/>
        <v>2</v>
      </c>
      <c r="W65" s="96">
        <f t="shared" si="37"/>
        <v>0.4</v>
      </c>
      <c r="X65" s="98">
        <f t="shared" si="38"/>
        <v>0.6</v>
      </c>
      <c r="Y65" s="97">
        <f t="shared" si="18"/>
        <v>2.1818181818181821</v>
      </c>
      <c r="Z65" s="96">
        <f t="shared" si="33"/>
        <v>7.3373737373737384</v>
      </c>
      <c r="AA65" s="96">
        <f t="shared" si="19"/>
        <v>2.1562594251859388</v>
      </c>
      <c r="AB65" s="96">
        <v>0</v>
      </c>
      <c r="AC65" s="96">
        <f t="shared" si="20"/>
        <v>4.6494547087031955E-2</v>
      </c>
      <c r="AD65" s="98">
        <f t="shared" si="21"/>
        <v>4.6494547087031955E-2</v>
      </c>
      <c r="AE65" s="97">
        <f t="shared" si="22"/>
        <v>2.5516562962962972</v>
      </c>
      <c r="AF65" s="96">
        <f t="shared" si="23"/>
        <v>2.1562594251859388</v>
      </c>
      <c r="AG65" s="96">
        <f t="shared" si="39"/>
        <v>2.0457600718294059E-2</v>
      </c>
      <c r="AH65" s="96">
        <f t="shared" si="40"/>
        <v>4.719797802197804</v>
      </c>
      <c r="AI65" s="98">
        <f t="shared" si="24"/>
        <v>4.7402554029160981</v>
      </c>
      <c r="AJ65" s="97">
        <f t="shared" si="25"/>
        <v>3.0933333333333337</v>
      </c>
      <c r="AK65" s="96">
        <f t="shared" si="26"/>
        <v>4.8630246633803171</v>
      </c>
      <c r="AL65" s="96">
        <f t="shared" si="27"/>
        <v>0.2010666666666667</v>
      </c>
      <c r="AM65" s="96">
        <f t="shared" si="41"/>
        <v>4.8104000000000005</v>
      </c>
      <c r="AN65" s="98">
        <f t="shared" si="28"/>
        <v>5.0114666666666672</v>
      </c>
      <c r="AO65" s="97">
        <f t="shared" si="42"/>
        <v>1.859781883481278E-2</v>
      </c>
      <c r="AP65" s="96">
        <f t="shared" si="16"/>
        <v>0.29025000000000001</v>
      </c>
      <c r="AQ65" s="98">
        <f t="shared" si="29"/>
        <v>8.0999999999999996E-3</v>
      </c>
      <c r="AR65" s="97">
        <f t="shared" si="30"/>
        <v>10.068669888417579</v>
      </c>
      <c r="AS65" s="96">
        <f t="shared" si="31"/>
        <v>37.120000000000005</v>
      </c>
      <c r="AT65" s="98">
        <f t="shared" si="32"/>
        <v>78.662950423849679</v>
      </c>
    </row>
    <row r="66" spans="17:46" x14ac:dyDescent="0.3">
      <c r="Q66" s="32">
        <v>59</v>
      </c>
      <c r="R66" s="97">
        <f t="shared" si="0"/>
        <v>12</v>
      </c>
      <c r="S66" s="96">
        <f t="shared" si="34"/>
        <v>3.1466666666666669</v>
      </c>
      <c r="T66" s="96">
        <f t="shared" si="2"/>
        <v>18</v>
      </c>
      <c r="U66" s="98">
        <f t="shared" si="35"/>
        <v>2.097777777777778</v>
      </c>
      <c r="V66" s="97">
        <f t="shared" si="36"/>
        <v>2</v>
      </c>
      <c r="W66" s="96">
        <f t="shared" si="37"/>
        <v>0.4</v>
      </c>
      <c r="X66" s="98">
        <f t="shared" si="38"/>
        <v>0.6</v>
      </c>
      <c r="Y66" s="97">
        <f t="shared" si="18"/>
        <v>2.1818181818181821</v>
      </c>
      <c r="Z66" s="96">
        <f t="shared" si="33"/>
        <v>7.426262626262627</v>
      </c>
      <c r="AA66" s="96">
        <f t="shared" si="19"/>
        <v>2.1902889808914043</v>
      </c>
      <c r="AB66" s="96">
        <v>0</v>
      </c>
      <c r="AC66" s="96">
        <f t="shared" si="20"/>
        <v>4.7973658198143067E-2</v>
      </c>
      <c r="AD66" s="98">
        <f t="shared" si="21"/>
        <v>4.7973658198143067E-2</v>
      </c>
      <c r="AE66" s="97">
        <f t="shared" si="22"/>
        <v>2.6404029629629635</v>
      </c>
      <c r="AF66" s="96">
        <f t="shared" si="23"/>
        <v>2.1902889808914043</v>
      </c>
      <c r="AG66" s="96">
        <f t="shared" si="39"/>
        <v>2.1108409607182948E-2</v>
      </c>
      <c r="AH66" s="96">
        <f t="shared" si="40"/>
        <v>4.801173626373628</v>
      </c>
      <c r="AI66" s="98">
        <f t="shared" si="24"/>
        <v>4.8222820359808107</v>
      </c>
      <c r="AJ66" s="97">
        <f t="shared" si="25"/>
        <v>3.1466666666666669</v>
      </c>
      <c r="AK66" s="96">
        <f t="shared" si="26"/>
        <v>4.9315351747377356</v>
      </c>
      <c r="AL66" s="96">
        <f t="shared" si="27"/>
        <v>0.20453333333333334</v>
      </c>
      <c r="AM66" s="96">
        <f t="shared" si="41"/>
        <v>4.8104000000000005</v>
      </c>
      <c r="AN66" s="98">
        <f t="shared" si="28"/>
        <v>5.0149333333333335</v>
      </c>
      <c r="AO66" s="97">
        <f t="shared" si="42"/>
        <v>1.9189463279257225E-2</v>
      </c>
      <c r="AP66" s="96">
        <f t="shared" si="16"/>
        <v>0.29025000000000001</v>
      </c>
      <c r="AQ66" s="98">
        <f t="shared" si="29"/>
        <v>8.0999999999999996E-3</v>
      </c>
      <c r="AR66" s="97">
        <f t="shared" si="30"/>
        <v>10.154754832593403</v>
      </c>
      <c r="AS66" s="96">
        <f t="shared" si="31"/>
        <v>37.760000000000005</v>
      </c>
      <c r="AT66" s="98">
        <f t="shared" si="32"/>
        <v>78.806622577799857</v>
      </c>
    </row>
    <row r="67" spans="17:46" x14ac:dyDescent="0.3">
      <c r="Q67" s="32">
        <v>60</v>
      </c>
      <c r="R67" s="97">
        <f t="shared" si="0"/>
        <v>12</v>
      </c>
      <c r="S67" s="96">
        <f t="shared" si="34"/>
        <v>3.2</v>
      </c>
      <c r="T67" s="96">
        <f t="shared" si="2"/>
        <v>18</v>
      </c>
      <c r="U67" s="98">
        <f t="shared" si="35"/>
        <v>2.1333333333333337</v>
      </c>
      <c r="V67" s="97">
        <f t="shared" si="36"/>
        <v>2</v>
      </c>
      <c r="W67" s="96">
        <f t="shared" si="37"/>
        <v>0.4</v>
      </c>
      <c r="X67" s="98">
        <f t="shared" si="38"/>
        <v>0.6</v>
      </c>
      <c r="Y67" s="97">
        <f t="shared" si="18"/>
        <v>2.1818181818181821</v>
      </c>
      <c r="Z67" s="96">
        <f t="shared" si="33"/>
        <v>7.5151515151515156</v>
      </c>
      <c r="AA67" s="96">
        <f t="shared" si="19"/>
        <v>2.2243662751415618</v>
      </c>
      <c r="AB67" s="96">
        <v>0</v>
      </c>
      <c r="AC67" s="96">
        <f t="shared" si="20"/>
        <v>4.9478053259871466E-2</v>
      </c>
      <c r="AD67" s="98">
        <f t="shared" si="21"/>
        <v>4.9478053259871466E-2</v>
      </c>
      <c r="AE67" s="97">
        <f t="shared" si="22"/>
        <v>2.7306666666666675</v>
      </c>
      <c r="AF67" s="96">
        <f t="shared" si="23"/>
        <v>2.2243662751415618</v>
      </c>
      <c r="AG67" s="96">
        <f t="shared" si="39"/>
        <v>2.1770343434343444E-2</v>
      </c>
      <c r="AH67" s="96">
        <f t="shared" si="40"/>
        <v>4.882549450549452</v>
      </c>
      <c r="AI67" s="98">
        <f t="shared" si="24"/>
        <v>4.9043197939837953</v>
      </c>
      <c r="AJ67" s="97">
        <f t="shared" si="25"/>
        <v>3.2</v>
      </c>
      <c r="AK67" s="96">
        <f t="shared" si="26"/>
        <v>5.0000550961151751</v>
      </c>
      <c r="AL67" s="96">
        <f t="shared" si="27"/>
        <v>0.20800000000000002</v>
      </c>
      <c r="AM67" s="96">
        <f t="shared" si="41"/>
        <v>4.8104000000000005</v>
      </c>
      <c r="AN67" s="98">
        <f t="shared" si="28"/>
        <v>5.0184000000000006</v>
      </c>
      <c r="AO67" s="97">
        <f t="shared" si="42"/>
        <v>1.9791221303948586E-2</v>
      </c>
      <c r="AP67" s="96">
        <f t="shared" si="16"/>
        <v>0.29025000000000001</v>
      </c>
      <c r="AQ67" s="98">
        <f t="shared" si="29"/>
        <v>8.0999999999999996E-3</v>
      </c>
      <c r="AR67" s="97">
        <f t="shared" si="30"/>
        <v>10.240861015287745</v>
      </c>
      <c r="AS67" s="96">
        <f t="shared" si="31"/>
        <v>38.400000000000006</v>
      </c>
      <c r="AT67" s="98">
        <f t="shared" si="32"/>
        <v>78.945970935693225</v>
      </c>
    </row>
    <row r="68" spans="17:46" x14ac:dyDescent="0.3">
      <c r="Q68" s="32">
        <v>61</v>
      </c>
      <c r="R68" s="97">
        <f t="shared" si="0"/>
        <v>12</v>
      </c>
      <c r="S68" s="96">
        <f t="shared" si="34"/>
        <v>3.2533333333333334</v>
      </c>
      <c r="T68" s="96">
        <f t="shared" si="2"/>
        <v>18</v>
      </c>
      <c r="U68" s="98">
        <f t="shared" si="35"/>
        <v>2.1688888888888886</v>
      </c>
      <c r="V68" s="97">
        <f t="shared" si="36"/>
        <v>2</v>
      </c>
      <c r="W68" s="96">
        <f t="shared" si="37"/>
        <v>0.4</v>
      </c>
      <c r="X68" s="98">
        <f t="shared" si="38"/>
        <v>0.6</v>
      </c>
      <c r="Y68" s="97">
        <f t="shared" si="18"/>
        <v>2.1818181818181821</v>
      </c>
      <c r="Z68" s="96">
        <f t="shared" si="33"/>
        <v>7.6040404040404042</v>
      </c>
      <c r="AA68" s="96">
        <f t="shared" si="19"/>
        <v>2.2584891470232287</v>
      </c>
      <c r="AB68" s="96">
        <v>0</v>
      </c>
      <c r="AC68" s="96">
        <f t="shared" si="20"/>
        <v>5.100773227221711E-2</v>
      </c>
      <c r="AD68" s="98">
        <f t="shared" si="21"/>
        <v>5.100773227221711E-2</v>
      </c>
      <c r="AE68" s="97">
        <f t="shared" si="22"/>
        <v>2.8224474074074073</v>
      </c>
      <c r="AF68" s="96">
        <f t="shared" si="23"/>
        <v>2.2584891470232287</v>
      </c>
      <c r="AG68" s="96">
        <f t="shared" si="39"/>
        <v>2.2443402199775531E-2</v>
      </c>
      <c r="AH68" s="96">
        <f t="shared" si="40"/>
        <v>4.963925274725276</v>
      </c>
      <c r="AI68" s="98">
        <f t="shared" si="24"/>
        <v>4.9863686769250517</v>
      </c>
      <c r="AJ68" s="97">
        <f t="shared" si="25"/>
        <v>3.2533333333333334</v>
      </c>
      <c r="AK68" s="96">
        <f t="shared" si="26"/>
        <v>5.0685840458830898</v>
      </c>
      <c r="AL68" s="96">
        <f t="shared" si="27"/>
        <v>0.21146666666666669</v>
      </c>
      <c r="AM68" s="96">
        <f t="shared" si="41"/>
        <v>4.8104000000000005</v>
      </c>
      <c r="AN68" s="98">
        <f t="shared" si="28"/>
        <v>5.0218666666666669</v>
      </c>
      <c r="AO68" s="97">
        <f t="shared" si="42"/>
        <v>2.0403092908886845E-2</v>
      </c>
      <c r="AP68" s="96">
        <f t="shared" si="16"/>
        <v>0.29025000000000001</v>
      </c>
      <c r="AQ68" s="98">
        <f t="shared" si="29"/>
        <v>8.0999999999999996E-3</v>
      </c>
      <c r="AR68" s="97">
        <f t="shared" si="30"/>
        <v>10.326988436500606</v>
      </c>
      <c r="AS68" s="96">
        <f t="shared" si="31"/>
        <v>39.04</v>
      </c>
      <c r="AT68" s="98">
        <f t="shared" si="32"/>
        <v>79.08118610519675</v>
      </c>
    </row>
    <row r="69" spans="17:46" x14ac:dyDescent="0.3">
      <c r="Q69" s="32">
        <v>62</v>
      </c>
      <c r="R69" s="97">
        <f t="shared" si="0"/>
        <v>12</v>
      </c>
      <c r="S69" s="96">
        <f t="shared" si="34"/>
        <v>3.3066666666666671</v>
      </c>
      <c r="T69" s="96">
        <f t="shared" si="2"/>
        <v>18</v>
      </c>
      <c r="U69" s="98">
        <f t="shared" si="35"/>
        <v>2.2044444444444449</v>
      </c>
      <c r="V69" s="97">
        <f t="shared" si="36"/>
        <v>2</v>
      </c>
      <c r="W69" s="96">
        <f t="shared" si="37"/>
        <v>0.4</v>
      </c>
      <c r="X69" s="98">
        <f t="shared" si="38"/>
        <v>0.6</v>
      </c>
      <c r="Y69" s="97">
        <f t="shared" si="18"/>
        <v>2.1818181818181821</v>
      </c>
      <c r="Z69" s="96">
        <f t="shared" si="33"/>
        <v>7.6929292929292945</v>
      </c>
      <c r="AA69" s="96">
        <f t="shared" si="19"/>
        <v>2.2926555614653523</v>
      </c>
      <c r="AB69" s="96">
        <v>0</v>
      </c>
      <c r="AC69" s="96">
        <f t="shared" si="20"/>
        <v>5.2562695235180097E-2</v>
      </c>
      <c r="AD69" s="98">
        <f t="shared" si="21"/>
        <v>5.2562695235180097E-2</v>
      </c>
      <c r="AE69" s="97">
        <f t="shared" si="22"/>
        <v>2.9157451851851861</v>
      </c>
      <c r="AF69" s="96">
        <f t="shared" si="23"/>
        <v>2.2926555614653523</v>
      </c>
      <c r="AG69" s="96">
        <f t="shared" si="39"/>
        <v>2.3127585903479245E-2</v>
      </c>
      <c r="AH69" s="96">
        <f t="shared" si="40"/>
        <v>5.0453010989011009</v>
      </c>
      <c r="AI69" s="98">
        <f t="shared" si="24"/>
        <v>5.0684286848045801</v>
      </c>
      <c r="AJ69" s="97">
        <f t="shared" si="25"/>
        <v>3.3066666666666671</v>
      </c>
      <c r="AK69" s="96">
        <f t="shared" si="26"/>
        <v>5.1371216627266438</v>
      </c>
      <c r="AL69" s="96">
        <f t="shared" si="27"/>
        <v>0.21493333333333337</v>
      </c>
      <c r="AM69" s="96">
        <f t="shared" si="41"/>
        <v>4.8104000000000005</v>
      </c>
      <c r="AN69" s="98">
        <f t="shared" si="28"/>
        <v>5.0253333333333341</v>
      </c>
      <c r="AO69" s="97">
        <f t="shared" si="42"/>
        <v>2.1025078094072041E-2</v>
      </c>
      <c r="AP69" s="96">
        <f t="shared" si="16"/>
        <v>0.29025000000000001</v>
      </c>
      <c r="AQ69" s="98">
        <f t="shared" si="29"/>
        <v>8.0999999999999996E-3</v>
      </c>
      <c r="AR69" s="97">
        <f t="shared" si="30"/>
        <v>10.413137096231987</v>
      </c>
      <c r="AS69" s="96">
        <f t="shared" si="31"/>
        <v>39.680000000000007</v>
      </c>
      <c r="AT69" s="98">
        <f t="shared" si="32"/>
        <v>79.212447652803803</v>
      </c>
    </row>
    <row r="70" spans="17:46" x14ac:dyDescent="0.3">
      <c r="Q70" s="32">
        <v>63</v>
      </c>
      <c r="R70" s="97">
        <f t="shared" si="0"/>
        <v>12</v>
      </c>
      <c r="S70" s="96">
        <f t="shared" si="34"/>
        <v>3.3600000000000003</v>
      </c>
      <c r="T70" s="96">
        <f t="shared" si="2"/>
        <v>18</v>
      </c>
      <c r="U70" s="98">
        <f t="shared" si="35"/>
        <v>2.2400000000000002</v>
      </c>
      <c r="V70" s="97">
        <f t="shared" si="36"/>
        <v>2</v>
      </c>
      <c r="W70" s="96">
        <f t="shared" si="37"/>
        <v>0.4</v>
      </c>
      <c r="X70" s="98">
        <f t="shared" si="38"/>
        <v>0.6</v>
      </c>
      <c r="Y70" s="97">
        <f t="shared" si="18"/>
        <v>2.1818181818181821</v>
      </c>
      <c r="Z70" s="96">
        <f t="shared" si="33"/>
        <v>7.7818181818181831</v>
      </c>
      <c r="AA70" s="96">
        <f t="shared" si="19"/>
        <v>2.3268636004020591</v>
      </c>
      <c r="AB70" s="96">
        <v>0</v>
      </c>
      <c r="AC70" s="96">
        <f t="shared" si="20"/>
        <v>5.4142942148760337E-2</v>
      </c>
      <c r="AD70" s="98">
        <f t="shared" si="21"/>
        <v>5.4142942148760337E-2</v>
      </c>
      <c r="AE70" s="97">
        <f t="shared" si="22"/>
        <v>3.0105600000000008</v>
      </c>
      <c r="AF70" s="96">
        <f t="shared" si="23"/>
        <v>2.3268636004020591</v>
      </c>
      <c r="AG70" s="96">
        <f t="shared" si="39"/>
        <v>2.3822894545454547E-2</v>
      </c>
      <c r="AH70" s="96">
        <f t="shared" si="40"/>
        <v>5.1266769230769249</v>
      </c>
      <c r="AI70" s="98">
        <f t="shared" si="24"/>
        <v>5.1504998176223795</v>
      </c>
      <c r="AJ70" s="97">
        <f t="shared" si="25"/>
        <v>3.3600000000000003</v>
      </c>
      <c r="AK70" s="96">
        <f t="shared" si="26"/>
        <v>5.2056676043147032</v>
      </c>
      <c r="AL70" s="96">
        <f t="shared" si="27"/>
        <v>0.21840000000000004</v>
      </c>
      <c r="AM70" s="96">
        <f t="shared" si="41"/>
        <v>4.8104000000000005</v>
      </c>
      <c r="AN70" s="98">
        <f t="shared" si="28"/>
        <v>5.0288000000000004</v>
      </c>
      <c r="AO70" s="97">
        <f t="shared" si="42"/>
        <v>2.1657176859504135E-2</v>
      </c>
      <c r="AP70" s="96">
        <f t="shared" si="16"/>
        <v>0.29025000000000001</v>
      </c>
      <c r="AQ70" s="98">
        <f t="shared" si="29"/>
        <v>8.0999999999999996E-3</v>
      </c>
      <c r="AR70" s="97">
        <f t="shared" si="30"/>
        <v>10.499306994481886</v>
      </c>
      <c r="AS70" s="96">
        <f t="shared" si="31"/>
        <v>40.320000000000007</v>
      </c>
      <c r="AT70" s="98">
        <f t="shared" si="32"/>
        <v>79.339924891888174</v>
      </c>
    </row>
    <row r="71" spans="17:46" x14ac:dyDescent="0.3">
      <c r="Q71" s="32">
        <v>64</v>
      </c>
      <c r="R71" s="97">
        <f t="shared" ref="R71:R134" si="43">VOUT</f>
        <v>12</v>
      </c>
      <c r="S71" s="96">
        <f t="shared" ref="S71:S102" si="44">Q71*$O$12</f>
        <v>3.4133333333333336</v>
      </c>
      <c r="T71" s="96">
        <f t="shared" ref="T71:T134" si="45">VIN_var</f>
        <v>18</v>
      </c>
      <c r="U71" s="98">
        <f t="shared" ref="U71:U102" si="46">(R71*S71)/(T71*EFF_est)</f>
        <v>2.2755555555555556</v>
      </c>
      <c r="V71" s="97">
        <f t="shared" ref="V71:V102" si="47">IF(S71&lt;((T71^2)*R71)/(2*Fsw*Lm*((T71+R71)^2)),1,2)</f>
        <v>2</v>
      </c>
      <c r="W71" s="96">
        <f t="shared" ref="W71:W102" si="48">CHOOSE(V71,SQRT(2*Lm*R71*S71*Fsw)/T71,R71/(T71+R71))</f>
        <v>0.4</v>
      </c>
      <c r="X71" s="98">
        <f t="shared" ref="X71:X102" si="49">CHOOSE(V71,(Lm*Z71*Fsw)/(R71),1-W71)</f>
        <v>0.6</v>
      </c>
      <c r="Y71" s="97">
        <f t="shared" si="18"/>
        <v>2.1818181818181821</v>
      </c>
      <c r="Z71" s="96">
        <f t="shared" si="33"/>
        <v>7.8707070707070717</v>
      </c>
      <c r="AA71" s="96">
        <f t="shared" si="19"/>
        <v>2.3611114546534617</v>
      </c>
      <c r="AB71" s="96">
        <v>0</v>
      </c>
      <c r="AC71" s="96">
        <f t="shared" si="20"/>
        <v>5.5748473012957857E-2</v>
      </c>
      <c r="AD71" s="98">
        <f t="shared" si="21"/>
        <v>5.5748473012957857E-2</v>
      </c>
      <c r="AE71" s="97">
        <f t="shared" si="22"/>
        <v>3.1068918518518522</v>
      </c>
      <c r="AF71" s="96">
        <f t="shared" si="23"/>
        <v>2.3611114546534617</v>
      </c>
      <c r="AG71" s="96">
        <f t="shared" ref="AG71:AG102" si="50">(AF71^2)*RDS_on</f>
        <v>2.4529328125701459E-2</v>
      </c>
      <c r="AH71" s="96">
        <f t="shared" ref="AH71:AH102" si="51">(((R71+T71)*(U71+S71))/2)*Fsw*(tr_sw+tf_sw)</f>
        <v>5.208052747252748</v>
      </c>
      <c r="AI71" s="98">
        <f t="shared" si="24"/>
        <v>5.2325820753784491</v>
      </c>
      <c r="AJ71" s="97">
        <f t="shared" si="25"/>
        <v>3.4133333333333336</v>
      </c>
      <c r="AK71" s="96">
        <f t="shared" si="26"/>
        <v>5.2742215460719208</v>
      </c>
      <c r="AL71" s="96">
        <f t="shared" si="27"/>
        <v>0.22186666666666668</v>
      </c>
      <c r="AM71" s="96">
        <f t="shared" ref="AM71:AM102" si="52">(R71+T71+Vd_rect)*Qrr*Fsw</f>
        <v>4.8104000000000005</v>
      </c>
      <c r="AN71" s="98">
        <f t="shared" si="28"/>
        <v>5.0322666666666676</v>
      </c>
      <c r="AO71" s="97">
        <f t="shared" ref="AO71:AO102" si="53">(AF71^2)*R_cs</f>
        <v>2.2299389205183144E-2</v>
      </c>
      <c r="AP71" s="96">
        <f t="shared" ref="AP71:AP134" si="54">Qg_tot*Vcc*Fsw</f>
        <v>0.29025000000000001</v>
      </c>
      <c r="AQ71" s="98">
        <f t="shared" si="29"/>
        <v>8.0999999999999996E-3</v>
      </c>
      <c r="AR71" s="97">
        <f t="shared" si="30"/>
        <v>10.585498131250301</v>
      </c>
      <c r="AS71" s="96">
        <f t="shared" si="31"/>
        <v>40.96</v>
      </c>
      <c r="AT71" s="98">
        <f t="shared" si="32"/>
        <v>79.463777604212027</v>
      </c>
    </row>
    <row r="72" spans="17:46" x14ac:dyDescent="0.3">
      <c r="Q72" s="32">
        <v>65</v>
      </c>
      <c r="R72" s="97">
        <f t="shared" si="43"/>
        <v>12</v>
      </c>
      <c r="S72" s="96">
        <f t="shared" si="44"/>
        <v>3.4666666666666668</v>
      </c>
      <c r="T72" s="96">
        <f t="shared" si="45"/>
        <v>18</v>
      </c>
      <c r="U72" s="98">
        <f t="shared" si="46"/>
        <v>2.3111111111111113</v>
      </c>
      <c r="V72" s="97">
        <f t="shared" si="47"/>
        <v>2</v>
      </c>
      <c r="W72" s="96">
        <f t="shared" si="48"/>
        <v>0.4</v>
      </c>
      <c r="X72" s="98">
        <f t="shared" si="49"/>
        <v>0.6</v>
      </c>
      <c r="Y72" s="97">
        <f t="shared" ref="Y72:Y135" si="55">(T72*W72)/(Lm*Fsw)</f>
        <v>2.1818181818181821</v>
      </c>
      <c r="Z72" s="96">
        <f t="shared" ref="Z72:Z135" si="56">CHOOSE(V72,Y72,U72+S72+(Y72))</f>
        <v>7.9595959595959602</v>
      </c>
      <c r="AA72" s="96">
        <f t="shared" ref="AA72:AA135" si="57">CHOOSE(V72,Z72*SQRT((W72+X72)/3),SQRT((U72^2)+((Y72^2)/12)))</f>
        <v>2.3953974164587533</v>
      </c>
      <c r="AB72" s="96">
        <v>0</v>
      </c>
      <c r="AC72" s="96">
        <f t="shared" ref="AC72:AC135" si="58">(AA72^2)*Rdcr</f>
        <v>5.7379287827772699E-2</v>
      </c>
      <c r="AD72" s="98">
        <f t="shared" ref="AD72:AD135" si="59">AB72+AC72</f>
        <v>5.7379287827772699E-2</v>
      </c>
      <c r="AE72" s="97">
        <f t="shared" ref="AE72:AE135" si="60">U72*S72*W72</f>
        <v>3.2047407407407413</v>
      </c>
      <c r="AF72" s="96">
        <f t="shared" ref="AF72:AF135" si="61">AA72</f>
        <v>2.3953974164587533</v>
      </c>
      <c r="AG72" s="96">
        <f t="shared" si="50"/>
        <v>2.5246886644219989E-2</v>
      </c>
      <c r="AH72" s="96">
        <f t="shared" si="51"/>
        <v>5.2894285714285729</v>
      </c>
      <c r="AI72" s="98">
        <f t="shared" ref="AI72:AI135" si="62">AG72+AH72</f>
        <v>5.3146754580727933</v>
      </c>
      <c r="AJ72" s="97">
        <f t="shared" ref="AJ72:AJ135" si="63">S72</f>
        <v>3.4666666666666668</v>
      </c>
      <c r="AK72" s="96">
        <f t="shared" ref="AK72:AK135" si="64">CHOOSE(V72,Z72*SQRT(X72/3),SQRT(X72*((Z72^2)+((Y72^2)/3)-(Y72*Z72))))</f>
        <v>5.3427831800446919</v>
      </c>
      <c r="AL72" s="96">
        <f t="shared" ref="AL72:AL135" si="65">S72*Vd_rect</f>
        <v>0.22533333333333336</v>
      </c>
      <c r="AM72" s="96">
        <f t="shared" si="52"/>
        <v>4.8104000000000005</v>
      </c>
      <c r="AN72" s="98">
        <f t="shared" ref="AN72:AN135" si="66">AL72+AM72</f>
        <v>5.0357333333333338</v>
      </c>
      <c r="AO72" s="97">
        <f t="shared" si="53"/>
        <v>2.2951715131109079E-2</v>
      </c>
      <c r="AP72" s="96">
        <f t="shared" si="54"/>
        <v>0.29025000000000001</v>
      </c>
      <c r="AQ72" s="98">
        <f t="shared" ref="AQ72:AQ135" si="67">IQ*T72</f>
        <v>8.0999999999999996E-3</v>
      </c>
      <c r="AR72" s="97">
        <f t="shared" ref="AR72:AR135" si="68">AO72+AN72+AI72+AP72+AQ72</f>
        <v>10.671710506537236</v>
      </c>
      <c r="AS72" s="96">
        <f t="shared" ref="AS72:AS135" si="69">R72*S72</f>
        <v>41.6</v>
      </c>
      <c r="AT72" s="98">
        <f t="shared" ref="AT72:AT135" si="70">(AS72/(AS72+AR72))*100</f>
        <v>79.584156701352626</v>
      </c>
    </row>
    <row r="73" spans="17:46" x14ac:dyDescent="0.3">
      <c r="Q73" s="32">
        <v>66</v>
      </c>
      <c r="R73" s="97">
        <f t="shared" si="43"/>
        <v>12</v>
      </c>
      <c r="S73" s="96">
        <f t="shared" si="44"/>
        <v>3.52</v>
      </c>
      <c r="T73" s="96">
        <f t="shared" si="45"/>
        <v>18</v>
      </c>
      <c r="U73" s="98">
        <f t="shared" si="46"/>
        <v>2.3466666666666667</v>
      </c>
      <c r="V73" s="97">
        <f t="shared" si="47"/>
        <v>2</v>
      </c>
      <c r="W73" s="96">
        <f t="shared" si="48"/>
        <v>0.4</v>
      </c>
      <c r="X73" s="98">
        <f t="shared" si="49"/>
        <v>0.6</v>
      </c>
      <c r="Y73" s="97">
        <f t="shared" si="55"/>
        <v>2.1818181818181821</v>
      </c>
      <c r="Z73" s="96">
        <f t="shared" si="56"/>
        <v>8.0484848484848488</v>
      </c>
      <c r="AA73" s="96">
        <f t="shared" si="57"/>
        <v>2.4297198726026994</v>
      </c>
      <c r="AB73" s="96">
        <v>0</v>
      </c>
      <c r="AC73" s="96">
        <f t="shared" si="58"/>
        <v>5.9035386593204779E-2</v>
      </c>
      <c r="AD73" s="98">
        <f t="shared" si="59"/>
        <v>5.9035386593204779E-2</v>
      </c>
      <c r="AE73" s="97">
        <f t="shared" si="60"/>
        <v>3.3041066666666667</v>
      </c>
      <c r="AF73" s="96">
        <f t="shared" si="61"/>
        <v>2.4297198726026994</v>
      </c>
      <c r="AG73" s="96">
        <f t="shared" si="50"/>
        <v>2.5975570101010103E-2</v>
      </c>
      <c r="AH73" s="96">
        <f t="shared" si="51"/>
        <v>5.370804395604396</v>
      </c>
      <c r="AI73" s="98">
        <f t="shared" si="62"/>
        <v>5.3967799657054059</v>
      </c>
      <c r="AJ73" s="97">
        <f t="shared" si="63"/>
        <v>3.52</v>
      </c>
      <c r="AK73" s="96">
        <f t="shared" si="64"/>
        <v>5.4113522138527577</v>
      </c>
      <c r="AL73" s="96">
        <f t="shared" si="65"/>
        <v>0.2288</v>
      </c>
      <c r="AM73" s="96">
        <f t="shared" si="52"/>
        <v>4.8104000000000005</v>
      </c>
      <c r="AN73" s="98">
        <f t="shared" si="66"/>
        <v>5.0392000000000001</v>
      </c>
      <c r="AO73" s="97">
        <f t="shared" si="53"/>
        <v>2.361415463728191E-2</v>
      </c>
      <c r="AP73" s="96">
        <f t="shared" si="54"/>
        <v>0.29025000000000001</v>
      </c>
      <c r="AQ73" s="98">
        <f t="shared" si="67"/>
        <v>8.0999999999999996E-3</v>
      </c>
      <c r="AR73" s="97">
        <f t="shared" si="68"/>
        <v>10.757944120342689</v>
      </c>
      <c r="AS73" s="96">
        <f t="shared" si="69"/>
        <v>42.24</v>
      </c>
      <c r="AT73" s="98">
        <f t="shared" si="70"/>
        <v>79.701204831805214</v>
      </c>
    </row>
    <row r="74" spans="17:46" x14ac:dyDescent="0.3">
      <c r="Q74" s="32">
        <v>67</v>
      </c>
      <c r="R74" s="97">
        <f t="shared" si="43"/>
        <v>12</v>
      </c>
      <c r="S74" s="96">
        <f t="shared" si="44"/>
        <v>3.5733333333333337</v>
      </c>
      <c r="T74" s="96">
        <f t="shared" si="45"/>
        <v>18</v>
      </c>
      <c r="U74" s="98">
        <f t="shared" si="46"/>
        <v>2.3822222222222225</v>
      </c>
      <c r="V74" s="97">
        <f t="shared" si="47"/>
        <v>2</v>
      </c>
      <c r="W74" s="96">
        <f t="shared" si="48"/>
        <v>0.4</v>
      </c>
      <c r="X74" s="98">
        <f t="shared" si="49"/>
        <v>0.6</v>
      </c>
      <c r="Y74" s="97">
        <f t="shared" si="55"/>
        <v>2.1818181818181821</v>
      </c>
      <c r="Z74" s="96">
        <f t="shared" si="56"/>
        <v>8.1373737373737374</v>
      </c>
      <c r="AA74" s="96">
        <f t="shared" si="57"/>
        <v>2.4640772980824726</v>
      </c>
      <c r="AB74" s="96">
        <v>0</v>
      </c>
      <c r="AC74" s="96">
        <f t="shared" si="58"/>
        <v>6.0716769309254189E-2</v>
      </c>
      <c r="AD74" s="98">
        <f t="shared" si="59"/>
        <v>6.0716769309254189E-2</v>
      </c>
      <c r="AE74" s="97">
        <f t="shared" si="60"/>
        <v>3.4049896296296307</v>
      </c>
      <c r="AF74" s="96">
        <f t="shared" si="61"/>
        <v>2.4640772980824726</v>
      </c>
      <c r="AG74" s="96">
        <f t="shared" si="50"/>
        <v>2.6715378496071845E-2</v>
      </c>
      <c r="AH74" s="96">
        <f t="shared" si="51"/>
        <v>5.4521802197802209</v>
      </c>
      <c r="AI74" s="98">
        <f t="shared" si="62"/>
        <v>5.478895598276293</v>
      </c>
      <c r="AJ74" s="97">
        <f t="shared" si="63"/>
        <v>3.5733333333333337</v>
      </c>
      <c r="AK74" s="96">
        <f t="shared" si="64"/>
        <v>5.4799283697190138</v>
      </c>
      <c r="AL74" s="96">
        <f t="shared" si="65"/>
        <v>0.2322666666666667</v>
      </c>
      <c r="AM74" s="96">
        <f t="shared" si="52"/>
        <v>4.8104000000000005</v>
      </c>
      <c r="AN74" s="98">
        <f t="shared" si="66"/>
        <v>5.0426666666666673</v>
      </c>
      <c r="AO74" s="97">
        <f t="shared" si="53"/>
        <v>2.4286707723701676E-2</v>
      </c>
      <c r="AP74" s="96">
        <f t="shared" si="54"/>
        <v>0.29025000000000001</v>
      </c>
      <c r="AQ74" s="98">
        <f t="shared" si="67"/>
        <v>8.0999999999999996E-3</v>
      </c>
      <c r="AR74" s="97">
        <f t="shared" si="68"/>
        <v>10.844198972666662</v>
      </c>
      <c r="AS74" s="96">
        <f t="shared" si="69"/>
        <v>42.88</v>
      </c>
      <c r="AT74" s="98">
        <f t="shared" si="70"/>
        <v>79.815056938896618</v>
      </c>
    </row>
    <row r="75" spans="17:46" x14ac:dyDescent="0.3">
      <c r="Q75" s="32">
        <v>68</v>
      </c>
      <c r="R75" s="97">
        <f t="shared" si="43"/>
        <v>12</v>
      </c>
      <c r="S75" s="96">
        <f t="shared" si="44"/>
        <v>3.6266666666666669</v>
      </c>
      <c r="T75" s="96">
        <f t="shared" si="45"/>
        <v>18</v>
      </c>
      <c r="U75" s="98">
        <f t="shared" si="46"/>
        <v>2.4177777777777778</v>
      </c>
      <c r="V75" s="97">
        <f t="shared" si="47"/>
        <v>2</v>
      </c>
      <c r="W75" s="96">
        <f t="shared" si="48"/>
        <v>0.4</v>
      </c>
      <c r="X75" s="98">
        <f t="shared" si="49"/>
        <v>0.6</v>
      </c>
      <c r="Y75" s="97">
        <f t="shared" si="55"/>
        <v>2.1818181818181821</v>
      </c>
      <c r="Z75" s="96">
        <f t="shared" si="56"/>
        <v>8.2262626262626259</v>
      </c>
      <c r="AA75" s="96">
        <f t="shared" si="57"/>
        <v>2.4984682502669679</v>
      </c>
      <c r="AB75" s="96">
        <v>0</v>
      </c>
      <c r="AC75" s="96">
        <f t="shared" si="58"/>
        <v>6.2423435975920843E-2</v>
      </c>
      <c r="AD75" s="98">
        <f t="shared" si="59"/>
        <v>6.2423435975920843E-2</v>
      </c>
      <c r="AE75" s="97">
        <f t="shared" si="60"/>
        <v>3.5073896296296301</v>
      </c>
      <c r="AF75" s="96">
        <f t="shared" si="61"/>
        <v>2.4984682502669679</v>
      </c>
      <c r="AG75" s="96">
        <f t="shared" si="50"/>
        <v>2.7466311829405173E-2</v>
      </c>
      <c r="AH75" s="96">
        <f t="shared" si="51"/>
        <v>5.5335560439560441</v>
      </c>
      <c r="AI75" s="98">
        <f t="shared" si="62"/>
        <v>5.5610223557854495</v>
      </c>
      <c r="AJ75" s="97">
        <f t="shared" si="63"/>
        <v>3.6266666666666669</v>
      </c>
      <c r="AK75" s="96">
        <f t="shared" si="64"/>
        <v>5.5485113835708155</v>
      </c>
      <c r="AL75" s="96">
        <f t="shared" si="65"/>
        <v>0.23573333333333335</v>
      </c>
      <c r="AM75" s="96">
        <f t="shared" si="52"/>
        <v>4.8104000000000005</v>
      </c>
      <c r="AN75" s="98">
        <f t="shared" si="66"/>
        <v>5.0461333333333336</v>
      </c>
      <c r="AO75" s="97">
        <f t="shared" si="53"/>
        <v>2.4969374390368337E-2</v>
      </c>
      <c r="AP75" s="96">
        <f t="shared" si="54"/>
        <v>0.29025000000000001</v>
      </c>
      <c r="AQ75" s="98">
        <f t="shared" si="67"/>
        <v>8.0999999999999996E-3</v>
      </c>
      <c r="AR75" s="97">
        <f t="shared" si="68"/>
        <v>10.930475063509151</v>
      </c>
      <c r="AS75" s="96">
        <f t="shared" si="69"/>
        <v>43.52</v>
      </c>
      <c r="AT75" s="98">
        <f t="shared" si="70"/>
        <v>79.925840774097523</v>
      </c>
    </row>
    <row r="76" spans="17:46" x14ac:dyDescent="0.3">
      <c r="Q76" s="32">
        <v>69</v>
      </c>
      <c r="R76" s="97">
        <f t="shared" si="43"/>
        <v>12</v>
      </c>
      <c r="S76" s="96">
        <f t="shared" si="44"/>
        <v>3.68</v>
      </c>
      <c r="T76" s="96">
        <f t="shared" si="45"/>
        <v>18</v>
      </c>
      <c r="U76" s="98">
        <f t="shared" si="46"/>
        <v>2.4533333333333336</v>
      </c>
      <c r="V76" s="97">
        <f t="shared" si="47"/>
        <v>2</v>
      </c>
      <c r="W76" s="96">
        <f t="shared" si="48"/>
        <v>0.4</v>
      </c>
      <c r="X76" s="98">
        <f t="shared" si="49"/>
        <v>0.6</v>
      </c>
      <c r="Y76" s="97">
        <f t="shared" si="55"/>
        <v>2.1818181818181821</v>
      </c>
      <c r="Z76" s="96">
        <f t="shared" si="56"/>
        <v>8.3151515151515163</v>
      </c>
      <c r="AA76" s="96">
        <f t="shared" si="57"/>
        <v>2.5328913635054464</v>
      </c>
      <c r="AB76" s="96">
        <v>0</v>
      </c>
      <c r="AC76" s="96">
        <f t="shared" si="58"/>
        <v>6.41553865932048E-2</v>
      </c>
      <c r="AD76" s="98">
        <f t="shared" si="59"/>
        <v>6.41553865932048E-2</v>
      </c>
      <c r="AE76" s="97">
        <f t="shared" si="60"/>
        <v>3.6113066666666676</v>
      </c>
      <c r="AF76" s="96">
        <f t="shared" si="61"/>
        <v>2.5328913635054464</v>
      </c>
      <c r="AG76" s="96">
        <f t="shared" si="50"/>
        <v>2.8228370101010113E-2</v>
      </c>
      <c r="AH76" s="96">
        <f t="shared" si="51"/>
        <v>5.614931868131869</v>
      </c>
      <c r="AI76" s="98">
        <f t="shared" si="62"/>
        <v>5.6431602382328787</v>
      </c>
      <c r="AJ76" s="97">
        <f t="shared" si="63"/>
        <v>3.68</v>
      </c>
      <c r="AK76" s="96">
        <f t="shared" si="64"/>
        <v>5.6171010042067131</v>
      </c>
      <c r="AL76" s="96">
        <f t="shared" si="65"/>
        <v>0.23920000000000002</v>
      </c>
      <c r="AM76" s="96">
        <f t="shared" si="52"/>
        <v>4.8104000000000005</v>
      </c>
      <c r="AN76" s="98">
        <f t="shared" si="66"/>
        <v>5.0496000000000008</v>
      </c>
      <c r="AO76" s="97">
        <f t="shared" si="53"/>
        <v>2.5662154637281918E-2</v>
      </c>
      <c r="AP76" s="96">
        <f t="shared" si="54"/>
        <v>0.29025000000000001</v>
      </c>
      <c r="AQ76" s="98">
        <f t="shared" si="67"/>
        <v>8.0999999999999996E-3</v>
      </c>
      <c r="AR76" s="97">
        <f t="shared" si="68"/>
        <v>11.016772392870163</v>
      </c>
      <c r="AS76" s="96">
        <f t="shared" si="69"/>
        <v>44.160000000000004</v>
      </c>
      <c r="AT76" s="98">
        <f t="shared" si="70"/>
        <v>80.033677369838827</v>
      </c>
    </row>
    <row r="77" spans="17:46" x14ac:dyDescent="0.3">
      <c r="Q77" s="32">
        <v>70</v>
      </c>
      <c r="R77" s="97">
        <f t="shared" si="43"/>
        <v>12</v>
      </c>
      <c r="S77" s="96">
        <f t="shared" si="44"/>
        <v>3.7333333333333334</v>
      </c>
      <c r="T77" s="96">
        <f t="shared" si="45"/>
        <v>18</v>
      </c>
      <c r="U77" s="98">
        <f t="shared" si="46"/>
        <v>2.4888888888888889</v>
      </c>
      <c r="V77" s="97">
        <f t="shared" si="47"/>
        <v>2</v>
      </c>
      <c r="W77" s="96">
        <f t="shared" si="48"/>
        <v>0.4</v>
      </c>
      <c r="X77" s="98">
        <f t="shared" si="49"/>
        <v>0.6</v>
      </c>
      <c r="Y77" s="97">
        <f t="shared" si="55"/>
        <v>2.1818181818181821</v>
      </c>
      <c r="Z77" s="96">
        <f t="shared" si="56"/>
        <v>8.4040404040404049</v>
      </c>
      <c r="AA77" s="96">
        <f t="shared" si="57"/>
        <v>2.5673453441464789</v>
      </c>
      <c r="AB77" s="96">
        <v>0</v>
      </c>
      <c r="AC77" s="96">
        <f t="shared" si="58"/>
        <v>6.5912621161106022E-2</v>
      </c>
      <c r="AD77" s="98">
        <f t="shared" si="59"/>
        <v>6.5912621161106022E-2</v>
      </c>
      <c r="AE77" s="97">
        <f t="shared" si="60"/>
        <v>3.7167407407407413</v>
      </c>
      <c r="AF77" s="96">
        <f t="shared" si="61"/>
        <v>2.5673453441464789</v>
      </c>
      <c r="AG77" s="96">
        <f t="shared" si="50"/>
        <v>2.9001553310886649E-2</v>
      </c>
      <c r="AH77" s="96">
        <f t="shared" si="51"/>
        <v>5.696307692307693</v>
      </c>
      <c r="AI77" s="98">
        <f t="shared" si="62"/>
        <v>5.7253092456185799</v>
      </c>
      <c r="AJ77" s="97">
        <f t="shared" si="63"/>
        <v>3.7333333333333334</v>
      </c>
      <c r="AK77" s="96">
        <f t="shared" si="64"/>
        <v>5.6856969925231384</v>
      </c>
      <c r="AL77" s="96">
        <f t="shared" si="65"/>
        <v>0.24266666666666667</v>
      </c>
      <c r="AM77" s="96">
        <f t="shared" si="52"/>
        <v>4.8104000000000005</v>
      </c>
      <c r="AN77" s="98">
        <f t="shared" si="66"/>
        <v>5.053066666666667</v>
      </c>
      <c r="AO77" s="97">
        <f t="shared" si="53"/>
        <v>2.6365048464442407E-2</v>
      </c>
      <c r="AP77" s="96">
        <f t="shared" si="54"/>
        <v>0.29025000000000001</v>
      </c>
      <c r="AQ77" s="98">
        <f t="shared" si="67"/>
        <v>8.0999999999999996E-3</v>
      </c>
      <c r="AR77" s="97">
        <f t="shared" si="68"/>
        <v>11.103090960749691</v>
      </c>
      <c r="AS77" s="96">
        <f t="shared" si="69"/>
        <v>44.8</v>
      </c>
      <c r="AT77" s="98">
        <f t="shared" si="70"/>
        <v>80.138681475510339</v>
      </c>
    </row>
    <row r="78" spans="17:46" x14ac:dyDescent="0.3">
      <c r="Q78" s="32">
        <v>71</v>
      </c>
      <c r="R78" s="97">
        <f t="shared" si="43"/>
        <v>12</v>
      </c>
      <c r="S78" s="96">
        <f t="shared" si="44"/>
        <v>3.7866666666666671</v>
      </c>
      <c r="T78" s="96">
        <f t="shared" si="45"/>
        <v>18</v>
      </c>
      <c r="U78" s="98">
        <f t="shared" si="46"/>
        <v>2.5244444444444447</v>
      </c>
      <c r="V78" s="97">
        <f t="shared" si="47"/>
        <v>2</v>
      </c>
      <c r="W78" s="96">
        <f t="shared" si="48"/>
        <v>0.4</v>
      </c>
      <c r="X78" s="98">
        <f t="shared" si="49"/>
        <v>0.6</v>
      </c>
      <c r="Y78" s="97">
        <f t="shared" si="55"/>
        <v>2.1818181818181821</v>
      </c>
      <c r="Z78" s="96">
        <f t="shared" si="56"/>
        <v>8.4929292929292934</v>
      </c>
      <c r="AA78" s="96">
        <f t="shared" si="57"/>
        <v>2.6018289659319374</v>
      </c>
      <c r="AB78" s="96">
        <v>0</v>
      </c>
      <c r="AC78" s="96">
        <f t="shared" si="58"/>
        <v>6.7695139679624539E-2</v>
      </c>
      <c r="AD78" s="98">
        <f t="shared" si="59"/>
        <v>6.7695139679624539E-2</v>
      </c>
      <c r="AE78" s="97">
        <f t="shared" si="60"/>
        <v>3.8236918518518532</v>
      </c>
      <c r="AF78" s="96">
        <f t="shared" si="61"/>
        <v>2.6018289659319374</v>
      </c>
      <c r="AG78" s="96">
        <f t="shared" si="50"/>
        <v>2.97858614590348E-2</v>
      </c>
      <c r="AH78" s="96">
        <f t="shared" si="51"/>
        <v>5.777683516483517</v>
      </c>
      <c r="AI78" s="98">
        <f t="shared" si="62"/>
        <v>5.8074693779425521</v>
      </c>
      <c r="AJ78" s="97">
        <f t="shared" si="63"/>
        <v>3.7866666666666671</v>
      </c>
      <c r="AK78" s="96">
        <f t="shared" si="64"/>
        <v>5.7542991207960972</v>
      </c>
      <c r="AL78" s="96">
        <f t="shared" si="65"/>
        <v>0.24613333333333337</v>
      </c>
      <c r="AM78" s="96">
        <f t="shared" si="52"/>
        <v>4.8104000000000005</v>
      </c>
      <c r="AN78" s="98">
        <f t="shared" si="66"/>
        <v>5.0565333333333342</v>
      </c>
      <c r="AO78" s="97">
        <f t="shared" si="53"/>
        <v>2.7078055871849818E-2</v>
      </c>
      <c r="AP78" s="96">
        <f t="shared" si="54"/>
        <v>0.29025000000000001</v>
      </c>
      <c r="AQ78" s="98">
        <f t="shared" si="67"/>
        <v>8.0999999999999996E-3</v>
      </c>
      <c r="AR78" s="97">
        <f t="shared" si="68"/>
        <v>11.189430767147737</v>
      </c>
      <c r="AS78" s="96">
        <f t="shared" si="69"/>
        <v>45.440000000000005</v>
      </c>
      <c r="AT78" s="98">
        <f t="shared" si="70"/>
        <v>80.240961959944286</v>
      </c>
    </row>
    <row r="79" spans="17:46" x14ac:dyDescent="0.3">
      <c r="Q79" s="32">
        <v>72</v>
      </c>
      <c r="R79" s="97">
        <f t="shared" si="43"/>
        <v>12</v>
      </c>
      <c r="S79" s="96">
        <f t="shared" si="44"/>
        <v>3.8400000000000003</v>
      </c>
      <c r="T79" s="96">
        <f t="shared" si="45"/>
        <v>18</v>
      </c>
      <c r="U79" s="98">
        <f t="shared" si="46"/>
        <v>2.5600000000000005</v>
      </c>
      <c r="V79" s="97">
        <f t="shared" si="47"/>
        <v>2</v>
      </c>
      <c r="W79" s="96">
        <f t="shared" si="48"/>
        <v>0.4</v>
      </c>
      <c r="X79" s="98">
        <f t="shared" si="49"/>
        <v>0.6</v>
      </c>
      <c r="Y79" s="97">
        <f t="shared" si="55"/>
        <v>2.1818181818181821</v>
      </c>
      <c r="Z79" s="96">
        <f t="shared" si="56"/>
        <v>8.581818181818182</v>
      </c>
      <c r="AA79" s="96">
        <f t="shared" si="57"/>
        <v>2.6363410657341051</v>
      </c>
      <c r="AB79" s="96">
        <v>0</v>
      </c>
      <c r="AC79" s="96">
        <f t="shared" si="58"/>
        <v>6.9502942148760377E-2</v>
      </c>
      <c r="AD79" s="98">
        <f t="shared" si="59"/>
        <v>6.9502942148760377E-2</v>
      </c>
      <c r="AE79" s="97">
        <f t="shared" si="60"/>
        <v>3.9321600000000014</v>
      </c>
      <c r="AF79" s="96">
        <f t="shared" si="61"/>
        <v>2.6363410657341051</v>
      </c>
      <c r="AG79" s="96">
        <f t="shared" si="50"/>
        <v>3.0581294545454565E-2</v>
      </c>
      <c r="AH79" s="96">
        <f t="shared" si="51"/>
        <v>5.859059340659341</v>
      </c>
      <c r="AI79" s="98">
        <f t="shared" si="62"/>
        <v>5.8896406352047954</v>
      </c>
      <c r="AJ79" s="97">
        <f t="shared" si="63"/>
        <v>3.8400000000000003</v>
      </c>
      <c r="AK79" s="96">
        <f t="shared" si="64"/>
        <v>5.8229071720133314</v>
      </c>
      <c r="AL79" s="96">
        <f t="shared" si="65"/>
        <v>0.24960000000000002</v>
      </c>
      <c r="AM79" s="96">
        <f t="shared" si="52"/>
        <v>4.8104000000000005</v>
      </c>
      <c r="AN79" s="98">
        <f t="shared" si="66"/>
        <v>5.0600000000000005</v>
      </c>
      <c r="AO79" s="97">
        <f t="shared" si="53"/>
        <v>2.7801176859504149E-2</v>
      </c>
      <c r="AP79" s="96">
        <f t="shared" si="54"/>
        <v>0.29025000000000001</v>
      </c>
      <c r="AQ79" s="98">
        <f t="shared" si="67"/>
        <v>8.0999999999999996E-3</v>
      </c>
      <c r="AR79" s="97">
        <f t="shared" si="68"/>
        <v>11.2757918120643</v>
      </c>
      <c r="AS79" s="96">
        <f t="shared" si="69"/>
        <v>46.080000000000005</v>
      </c>
      <c r="AT79" s="98">
        <f t="shared" si="70"/>
        <v>80.340622183351101</v>
      </c>
    </row>
    <row r="80" spans="17:46" x14ac:dyDescent="0.3">
      <c r="Q80" s="32">
        <v>73</v>
      </c>
      <c r="R80" s="97">
        <f t="shared" si="43"/>
        <v>12</v>
      </c>
      <c r="S80" s="96">
        <f t="shared" si="44"/>
        <v>3.8933333333333335</v>
      </c>
      <c r="T80" s="96">
        <f t="shared" si="45"/>
        <v>18</v>
      </c>
      <c r="U80" s="98">
        <f t="shared" si="46"/>
        <v>2.5955555555555554</v>
      </c>
      <c r="V80" s="97">
        <f t="shared" si="47"/>
        <v>2</v>
      </c>
      <c r="W80" s="96">
        <f t="shared" si="48"/>
        <v>0.4</v>
      </c>
      <c r="X80" s="98">
        <f t="shared" si="49"/>
        <v>0.6</v>
      </c>
      <c r="Y80" s="97">
        <f t="shared" si="55"/>
        <v>2.1818181818181821</v>
      </c>
      <c r="Z80" s="96">
        <f t="shared" si="56"/>
        <v>8.6707070707070706</v>
      </c>
      <c r="AA80" s="96">
        <f t="shared" si="57"/>
        <v>2.6708805396069928</v>
      </c>
      <c r="AB80" s="96">
        <v>0</v>
      </c>
      <c r="AC80" s="96">
        <f t="shared" si="58"/>
        <v>7.1336028568513413E-2</v>
      </c>
      <c r="AD80" s="98">
        <f t="shared" si="59"/>
        <v>7.1336028568513413E-2</v>
      </c>
      <c r="AE80" s="97">
        <f t="shared" si="60"/>
        <v>4.0421451851851851</v>
      </c>
      <c r="AF80" s="96">
        <f t="shared" si="61"/>
        <v>2.6708805396069928</v>
      </c>
      <c r="AG80" s="96">
        <f t="shared" si="50"/>
        <v>3.1387852570145904E-2</v>
      </c>
      <c r="AH80" s="96">
        <f t="shared" si="51"/>
        <v>5.940435164835165</v>
      </c>
      <c r="AI80" s="98">
        <f t="shared" si="62"/>
        <v>5.9718230174053106</v>
      </c>
      <c r="AJ80" s="97">
        <f t="shared" si="63"/>
        <v>3.8933333333333335</v>
      </c>
      <c r="AK80" s="96">
        <f t="shared" si="64"/>
        <v>5.8915209392528967</v>
      </c>
      <c r="AL80" s="96">
        <f t="shared" si="65"/>
        <v>0.25306666666666666</v>
      </c>
      <c r="AM80" s="96">
        <f t="shared" si="52"/>
        <v>4.8104000000000005</v>
      </c>
      <c r="AN80" s="98">
        <f t="shared" si="66"/>
        <v>5.0634666666666668</v>
      </c>
      <c r="AO80" s="97">
        <f t="shared" si="53"/>
        <v>2.8534411427405364E-2</v>
      </c>
      <c r="AP80" s="96">
        <f t="shared" si="54"/>
        <v>0.29025000000000001</v>
      </c>
      <c r="AQ80" s="98">
        <f t="shared" si="67"/>
        <v>8.0999999999999996E-3</v>
      </c>
      <c r="AR80" s="97">
        <f t="shared" si="68"/>
        <v>11.362174095499384</v>
      </c>
      <c r="AS80" s="96">
        <f t="shared" si="69"/>
        <v>46.72</v>
      </c>
      <c r="AT80" s="98">
        <f t="shared" si="70"/>
        <v>80.437760341378464</v>
      </c>
    </row>
    <row r="81" spans="17:46" x14ac:dyDescent="0.3">
      <c r="Q81" s="32">
        <v>74</v>
      </c>
      <c r="R81" s="97">
        <f t="shared" si="43"/>
        <v>12</v>
      </c>
      <c r="S81" s="96">
        <f t="shared" si="44"/>
        <v>3.9466666666666668</v>
      </c>
      <c r="T81" s="96">
        <f t="shared" si="45"/>
        <v>18</v>
      </c>
      <c r="U81" s="98">
        <f t="shared" si="46"/>
        <v>2.6311111111111112</v>
      </c>
      <c r="V81" s="97">
        <f t="shared" si="47"/>
        <v>2</v>
      </c>
      <c r="W81" s="96">
        <f t="shared" si="48"/>
        <v>0.4</v>
      </c>
      <c r="X81" s="98">
        <f t="shared" si="49"/>
        <v>0.6</v>
      </c>
      <c r="Y81" s="97">
        <f t="shared" si="55"/>
        <v>2.1818181818181821</v>
      </c>
      <c r="Z81" s="96">
        <f t="shared" si="56"/>
        <v>8.7595959595959592</v>
      </c>
      <c r="AA81" s="96">
        <f t="shared" si="57"/>
        <v>2.7054463391256496</v>
      </c>
      <c r="AB81" s="96">
        <v>0</v>
      </c>
      <c r="AC81" s="96">
        <f t="shared" si="58"/>
        <v>7.3194398938883798E-2</v>
      </c>
      <c r="AD81" s="98">
        <f t="shared" si="59"/>
        <v>7.3194398938883798E-2</v>
      </c>
      <c r="AE81" s="97">
        <f t="shared" si="60"/>
        <v>4.1536474074074077</v>
      </c>
      <c r="AF81" s="96">
        <f t="shared" si="61"/>
        <v>2.7054463391256496</v>
      </c>
      <c r="AG81" s="96">
        <f t="shared" si="50"/>
        <v>3.220553553310887E-2</v>
      </c>
      <c r="AH81" s="96">
        <f t="shared" si="51"/>
        <v>6.021810989010989</v>
      </c>
      <c r="AI81" s="98">
        <f t="shared" si="62"/>
        <v>6.0540165245440978</v>
      </c>
      <c r="AJ81" s="97">
        <f t="shared" si="63"/>
        <v>3.9466666666666668</v>
      </c>
      <c r="AK81" s="96">
        <f t="shared" si="64"/>
        <v>5.9601402251044275</v>
      </c>
      <c r="AL81" s="96">
        <f t="shared" si="65"/>
        <v>0.25653333333333334</v>
      </c>
      <c r="AM81" s="96">
        <f t="shared" si="52"/>
        <v>4.8104000000000005</v>
      </c>
      <c r="AN81" s="98">
        <f t="shared" si="66"/>
        <v>5.066933333333334</v>
      </c>
      <c r="AO81" s="97">
        <f t="shared" si="53"/>
        <v>2.9277759575553518E-2</v>
      </c>
      <c r="AP81" s="96">
        <f t="shared" si="54"/>
        <v>0.29025000000000001</v>
      </c>
      <c r="AQ81" s="98">
        <f t="shared" si="67"/>
        <v>8.0999999999999996E-3</v>
      </c>
      <c r="AR81" s="97">
        <f t="shared" si="68"/>
        <v>11.448577617452985</v>
      </c>
      <c r="AS81" s="96">
        <f t="shared" si="69"/>
        <v>47.36</v>
      </c>
      <c r="AT81" s="98">
        <f t="shared" si="70"/>
        <v>80.532469783701558</v>
      </c>
    </row>
    <row r="82" spans="17:46" x14ac:dyDescent="0.3">
      <c r="Q82" s="32">
        <v>75</v>
      </c>
      <c r="R82" s="97">
        <f t="shared" si="43"/>
        <v>12</v>
      </c>
      <c r="S82" s="96">
        <f t="shared" si="44"/>
        <v>4</v>
      </c>
      <c r="T82" s="96">
        <f t="shared" si="45"/>
        <v>18</v>
      </c>
      <c r="U82" s="98">
        <f t="shared" si="46"/>
        <v>2.6666666666666665</v>
      </c>
      <c r="V82" s="97">
        <f t="shared" si="47"/>
        <v>2</v>
      </c>
      <c r="W82" s="96">
        <f t="shared" si="48"/>
        <v>0.4</v>
      </c>
      <c r="X82" s="98">
        <f t="shared" si="49"/>
        <v>0.6</v>
      </c>
      <c r="Y82" s="97">
        <f t="shared" si="55"/>
        <v>2.1818181818181821</v>
      </c>
      <c r="Z82" s="96">
        <f t="shared" si="56"/>
        <v>8.8484848484848477</v>
      </c>
      <c r="AA82" s="96">
        <f t="shared" si="57"/>
        <v>2.740037467989652</v>
      </c>
      <c r="AB82" s="96">
        <v>0</v>
      </c>
      <c r="AC82" s="96">
        <f t="shared" si="58"/>
        <v>7.5078053259871436E-2</v>
      </c>
      <c r="AD82" s="98">
        <f t="shared" si="59"/>
        <v>7.5078053259871436E-2</v>
      </c>
      <c r="AE82" s="97">
        <f t="shared" si="60"/>
        <v>4.2666666666666666</v>
      </c>
      <c r="AF82" s="96">
        <f t="shared" si="61"/>
        <v>2.740037467989652</v>
      </c>
      <c r="AG82" s="96">
        <f t="shared" si="50"/>
        <v>3.303434343434343E-2</v>
      </c>
      <c r="AH82" s="96">
        <f t="shared" si="51"/>
        <v>6.103186813186813</v>
      </c>
      <c r="AI82" s="98">
        <f t="shared" si="62"/>
        <v>6.1362211566211569</v>
      </c>
      <c r="AJ82" s="97">
        <f t="shared" si="63"/>
        <v>4</v>
      </c>
      <c r="AK82" s="96">
        <f t="shared" si="64"/>
        <v>6.0287648411297203</v>
      </c>
      <c r="AL82" s="96">
        <f t="shared" si="65"/>
        <v>0.26</v>
      </c>
      <c r="AM82" s="96">
        <f t="shared" si="52"/>
        <v>4.8104000000000005</v>
      </c>
      <c r="AN82" s="98">
        <f t="shared" si="66"/>
        <v>5.0704000000000002</v>
      </c>
      <c r="AO82" s="97">
        <f t="shared" si="53"/>
        <v>3.0031221303948575E-2</v>
      </c>
      <c r="AP82" s="96">
        <f t="shared" si="54"/>
        <v>0.29025000000000001</v>
      </c>
      <c r="AQ82" s="98">
        <f t="shared" si="67"/>
        <v>8.0999999999999996E-3</v>
      </c>
      <c r="AR82" s="97">
        <f t="shared" si="68"/>
        <v>11.535002377925107</v>
      </c>
      <c r="AS82" s="96">
        <f t="shared" si="69"/>
        <v>48</v>
      </c>
      <c r="AT82" s="98">
        <f t="shared" si="70"/>
        <v>80.624839309316712</v>
      </c>
    </row>
    <row r="83" spans="17:46" x14ac:dyDescent="0.3">
      <c r="Q83" s="32">
        <v>76</v>
      </c>
      <c r="R83" s="97">
        <f t="shared" si="43"/>
        <v>12</v>
      </c>
      <c r="S83" s="96">
        <f t="shared" si="44"/>
        <v>4.0533333333333337</v>
      </c>
      <c r="T83" s="96">
        <f t="shared" si="45"/>
        <v>18</v>
      </c>
      <c r="U83" s="98">
        <f t="shared" si="46"/>
        <v>2.7022222222222223</v>
      </c>
      <c r="V83" s="97">
        <f t="shared" si="47"/>
        <v>2</v>
      </c>
      <c r="W83" s="96">
        <f t="shared" si="48"/>
        <v>0.4</v>
      </c>
      <c r="X83" s="98">
        <f t="shared" si="49"/>
        <v>0.6</v>
      </c>
      <c r="Y83" s="97">
        <f t="shared" si="55"/>
        <v>2.1818181818181821</v>
      </c>
      <c r="Z83" s="96">
        <f t="shared" si="56"/>
        <v>8.9373737373737381</v>
      </c>
      <c r="AA83" s="96">
        <f t="shared" si="57"/>
        <v>2.7746529788691845</v>
      </c>
      <c r="AB83" s="96">
        <v>0</v>
      </c>
      <c r="AC83" s="96">
        <f t="shared" si="58"/>
        <v>7.6986991531476395E-2</v>
      </c>
      <c r="AD83" s="98">
        <f t="shared" si="59"/>
        <v>7.6986991531476395E-2</v>
      </c>
      <c r="AE83" s="97">
        <f t="shared" si="60"/>
        <v>4.3812029629629636</v>
      </c>
      <c r="AF83" s="96">
        <f t="shared" si="61"/>
        <v>2.7746529788691845</v>
      </c>
      <c r="AG83" s="96">
        <f t="shared" si="50"/>
        <v>3.3874276273849611E-2</v>
      </c>
      <c r="AH83" s="96">
        <f t="shared" si="51"/>
        <v>6.1845626373626388</v>
      </c>
      <c r="AI83" s="98">
        <f t="shared" si="62"/>
        <v>6.2184369136364888</v>
      </c>
      <c r="AJ83" s="97">
        <f t="shared" si="63"/>
        <v>4.0533333333333337</v>
      </c>
      <c r="AK83" s="96">
        <f t="shared" si="64"/>
        <v>6.0973946073595533</v>
      </c>
      <c r="AL83" s="96">
        <f t="shared" si="65"/>
        <v>0.26346666666666668</v>
      </c>
      <c r="AM83" s="96">
        <f t="shared" si="52"/>
        <v>4.8104000000000005</v>
      </c>
      <c r="AN83" s="98">
        <f t="shared" si="66"/>
        <v>5.0738666666666674</v>
      </c>
      <c r="AO83" s="97">
        <f t="shared" si="53"/>
        <v>3.0794796612590557E-2</v>
      </c>
      <c r="AP83" s="96">
        <f t="shared" si="54"/>
        <v>0.29025000000000001</v>
      </c>
      <c r="AQ83" s="98">
        <f t="shared" si="67"/>
        <v>8.0999999999999996E-3</v>
      </c>
      <c r="AR83" s="97">
        <f t="shared" si="68"/>
        <v>11.621448376915748</v>
      </c>
      <c r="AS83" s="96">
        <f t="shared" si="69"/>
        <v>48.64</v>
      </c>
      <c r="AT83" s="98">
        <f t="shared" si="70"/>
        <v>80.714953440502498</v>
      </c>
    </row>
    <row r="84" spans="17:46" x14ac:dyDescent="0.3">
      <c r="Q84" s="32">
        <v>77</v>
      </c>
      <c r="R84" s="97">
        <f t="shared" si="43"/>
        <v>12</v>
      </c>
      <c r="S84" s="96">
        <f t="shared" si="44"/>
        <v>4.1066666666666674</v>
      </c>
      <c r="T84" s="96">
        <f t="shared" si="45"/>
        <v>18</v>
      </c>
      <c r="U84" s="98">
        <f t="shared" si="46"/>
        <v>2.7377777777777781</v>
      </c>
      <c r="V84" s="97">
        <f t="shared" si="47"/>
        <v>2</v>
      </c>
      <c r="W84" s="96">
        <f t="shared" si="48"/>
        <v>0.4</v>
      </c>
      <c r="X84" s="98">
        <f t="shared" si="49"/>
        <v>0.6</v>
      </c>
      <c r="Y84" s="97">
        <f t="shared" si="55"/>
        <v>2.1818181818181821</v>
      </c>
      <c r="Z84" s="96">
        <f t="shared" si="56"/>
        <v>9.0262626262626267</v>
      </c>
      <c r="AA84" s="96">
        <f t="shared" si="57"/>
        <v>2.8092919704740309</v>
      </c>
      <c r="AB84" s="96">
        <v>0</v>
      </c>
      <c r="AC84" s="96">
        <f t="shared" si="58"/>
        <v>7.8921213753698635E-2</v>
      </c>
      <c r="AD84" s="98">
        <f t="shared" si="59"/>
        <v>7.8921213753698635E-2</v>
      </c>
      <c r="AE84" s="97">
        <f t="shared" si="60"/>
        <v>4.4972562962962979</v>
      </c>
      <c r="AF84" s="96">
        <f t="shared" si="61"/>
        <v>2.8092919704740309</v>
      </c>
      <c r="AG84" s="96">
        <f t="shared" si="50"/>
        <v>3.47253340516274E-2</v>
      </c>
      <c r="AH84" s="96">
        <f t="shared" si="51"/>
        <v>6.2659384615384628</v>
      </c>
      <c r="AI84" s="98">
        <f t="shared" si="62"/>
        <v>6.3006637955900899</v>
      </c>
      <c r="AJ84" s="97">
        <f t="shared" si="63"/>
        <v>4.1066666666666674</v>
      </c>
      <c r="AK84" s="96">
        <f t="shared" si="64"/>
        <v>6.166029351823938</v>
      </c>
      <c r="AL84" s="96">
        <f t="shared" si="65"/>
        <v>0.26693333333333341</v>
      </c>
      <c r="AM84" s="96">
        <f t="shared" si="52"/>
        <v>4.8104000000000005</v>
      </c>
      <c r="AN84" s="98">
        <f t="shared" si="66"/>
        <v>5.0773333333333337</v>
      </c>
      <c r="AO84" s="97">
        <f t="shared" si="53"/>
        <v>3.1568485501479455E-2</v>
      </c>
      <c r="AP84" s="96">
        <f t="shared" si="54"/>
        <v>0.29025000000000001</v>
      </c>
      <c r="AQ84" s="98">
        <f t="shared" si="67"/>
        <v>8.0999999999999996E-3</v>
      </c>
      <c r="AR84" s="97">
        <f t="shared" si="68"/>
        <v>11.707915614424904</v>
      </c>
      <c r="AS84" s="96">
        <f t="shared" si="69"/>
        <v>49.280000000000008</v>
      </c>
      <c r="AT84" s="98">
        <f t="shared" si="70"/>
        <v>80.802892677224506</v>
      </c>
    </row>
    <row r="85" spans="17:46" x14ac:dyDescent="0.3">
      <c r="Q85" s="32">
        <v>78</v>
      </c>
      <c r="R85" s="97">
        <f t="shared" si="43"/>
        <v>12</v>
      </c>
      <c r="S85" s="96">
        <f t="shared" si="44"/>
        <v>4.16</v>
      </c>
      <c r="T85" s="96">
        <f t="shared" si="45"/>
        <v>18</v>
      </c>
      <c r="U85" s="98">
        <f t="shared" si="46"/>
        <v>2.7733333333333334</v>
      </c>
      <c r="V85" s="97">
        <f t="shared" si="47"/>
        <v>2</v>
      </c>
      <c r="W85" s="96">
        <f t="shared" si="48"/>
        <v>0.4</v>
      </c>
      <c r="X85" s="98">
        <f t="shared" si="49"/>
        <v>0.6</v>
      </c>
      <c r="Y85" s="97">
        <f t="shared" si="55"/>
        <v>2.1818181818181821</v>
      </c>
      <c r="Z85" s="96">
        <f t="shared" si="56"/>
        <v>9.1151515151515152</v>
      </c>
      <c r="AA85" s="96">
        <f t="shared" si="57"/>
        <v>2.8439535848276094</v>
      </c>
      <c r="AB85" s="96">
        <v>0</v>
      </c>
      <c r="AC85" s="96">
        <f t="shared" si="58"/>
        <v>8.0880719926538114E-2</v>
      </c>
      <c r="AD85" s="98">
        <f t="shared" si="59"/>
        <v>8.0880719926538114E-2</v>
      </c>
      <c r="AE85" s="97">
        <f t="shared" si="60"/>
        <v>4.6148266666666675</v>
      </c>
      <c r="AF85" s="96">
        <f t="shared" si="61"/>
        <v>2.8439535848276094</v>
      </c>
      <c r="AG85" s="96">
        <f t="shared" si="50"/>
        <v>3.5587516767676769E-2</v>
      </c>
      <c r="AH85" s="96">
        <f t="shared" si="51"/>
        <v>6.3473142857142868</v>
      </c>
      <c r="AI85" s="98">
        <f t="shared" si="62"/>
        <v>6.3829018024819639</v>
      </c>
      <c r="AJ85" s="97">
        <f t="shared" si="63"/>
        <v>4.16</v>
      </c>
      <c r="AK85" s="96">
        <f t="shared" si="64"/>
        <v>6.2346689101132524</v>
      </c>
      <c r="AL85" s="96">
        <f t="shared" si="65"/>
        <v>0.27040000000000003</v>
      </c>
      <c r="AM85" s="96">
        <f t="shared" si="52"/>
        <v>4.8104000000000005</v>
      </c>
      <c r="AN85" s="98">
        <f t="shared" si="66"/>
        <v>5.0808000000000009</v>
      </c>
      <c r="AO85" s="97">
        <f t="shared" si="53"/>
        <v>3.2352287970615241E-2</v>
      </c>
      <c r="AP85" s="96">
        <f t="shared" si="54"/>
        <v>0.29025000000000001</v>
      </c>
      <c r="AQ85" s="98">
        <f t="shared" si="67"/>
        <v>8.0999999999999996E-3</v>
      </c>
      <c r="AR85" s="97">
        <f t="shared" si="68"/>
        <v>11.794404090452581</v>
      </c>
      <c r="AS85" s="96">
        <f t="shared" si="69"/>
        <v>49.92</v>
      </c>
      <c r="AT85" s="98">
        <f t="shared" si="70"/>
        <v>80.888733733593298</v>
      </c>
    </row>
    <row r="86" spans="17:46" x14ac:dyDescent="0.3">
      <c r="Q86" s="32">
        <v>79</v>
      </c>
      <c r="R86" s="97">
        <f t="shared" si="43"/>
        <v>12</v>
      </c>
      <c r="S86" s="96">
        <f t="shared" si="44"/>
        <v>4.2133333333333338</v>
      </c>
      <c r="T86" s="96">
        <f t="shared" si="45"/>
        <v>18</v>
      </c>
      <c r="U86" s="98">
        <f t="shared" si="46"/>
        <v>2.8088888888888892</v>
      </c>
      <c r="V86" s="97">
        <f t="shared" si="47"/>
        <v>2</v>
      </c>
      <c r="W86" s="96">
        <f t="shared" si="48"/>
        <v>0.4</v>
      </c>
      <c r="X86" s="98">
        <f t="shared" si="49"/>
        <v>0.6</v>
      </c>
      <c r="Y86" s="97">
        <f t="shared" si="55"/>
        <v>2.1818181818181821</v>
      </c>
      <c r="Z86" s="96">
        <f t="shared" si="56"/>
        <v>9.2040404040404056</v>
      </c>
      <c r="AA86" s="96">
        <f t="shared" si="57"/>
        <v>2.8786370047297543</v>
      </c>
      <c r="AB86" s="96">
        <v>0</v>
      </c>
      <c r="AC86" s="96">
        <f t="shared" si="58"/>
        <v>8.2865510049994914E-2</v>
      </c>
      <c r="AD86" s="98">
        <f t="shared" si="59"/>
        <v>8.2865510049994914E-2</v>
      </c>
      <c r="AE86" s="97">
        <f t="shared" si="60"/>
        <v>4.7339140740740753</v>
      </c>
      <c r="AF86" s="96">
        <f t="shared" si="61"/>
        <v>2.8786370047297543</v>
      </c>
      <c r="AG86" s="96">
        <f t="shared" si="50"/>
        <v>3.6460824421997766E-2</v>
      </c>
      <c r="AH86" s="96">
        <f t="shared" si="51"/>
        <v>6.4286901098901108</v>
      </c>
      <c r="AI86" s="98">
        <f t="shared" si="62"/>
        <v>6.465150934312109</v>
      </c>
      <c r="AJ86" s="97">
        <f t="shared" si="63"/>
        <v>4.2133333333333338</v>
      </c>
      <c r="AK86" s="96">
        <f t="shared" si="64"/>
        <v>6.3033131249679109</v>
      </c>
      <c r="AL86" s="96">
        <f t="shared" si="65"/>
        <v>0.2738666666666667</v>
      </c>
      <c r="AM86" s="96">
        <f t="shared" si="52"/>
        <v>4.8104000000000005</v>
      </c>
      <c r="AN86" s="98">
        <f t="shared" si="66"/>
        <v>5.0842666666666672</v>
      </c>
      <c r="AO86" s="97">
        <f t="shared" si="53"/>
        <v>3.3146204019997967E-2</v>
      </c>
      <c r="AP86" s="96">
        <f t="shared" si="54"/>
        <v>0.29025000000000001</v>
      </c>
      <c r="AQ86" s="98">
        <f t="shared" si="67"/>
        <v>8.0999999999999996E-3</v>
      </c>
      <c r="AR86" s="97">
        <f t="shared" si="68"/>
        <v>11.880913804998775</v>
      </c>
      <c r="AS86" s="96">
        <f t="shared" si="69"/>
        <v>50.56</v>
      </c>
      <c r="AT86" s="98">
        <f t="shared" si="70"/>
        <v>80.972549757835807</v>
      </c>
    </row>
    <row r="87" spans="17:46" x14ac:dyDescent="0.3">
      <c r="Q87" s="32">
        <v>80</v>
      </c>
      <c r="R87" s="97">
        <f t="shared" si="43"/>
        <v>12</v>
      </c>
      <c r="S87" s="96">
        <f t="shared" si="44"/>
        <v>4.2666666666666666</v>
      </c>
      <c r="T87" s="96">
        <f t="shared" si="45"/>
        <v>18</v>
      </c>
      <c r="U87" s="98">
        <f t="shared" si="46"/>
        <v>2.8444444444444446</v>
      </c>
      <c r="V87" s="97">
        <f t="shared" si="47"/>
        <v>2</v>
      </c>
      <c r="W87" s="96">
        <f t="shared" si="48"/>
        <v>0.4</v>
      </c>
      <c r="X87" s="98">
        <f t="shared" si="49"/>
        <v>0.6</v>
      </c>
      <c r="Y87" s="97">
        <f t="shared" si="55"/>
        <v>2.1818181818181821</v>
      </c>
      <c r="Z87" s="96">
        <f t="shared" si="56"/>
        <v>9.2929292929292924</v>
      </c>
      <c r="AA87" s="96">
        <f t="shared" si="57"/>
        <v>2.9133414513933822</v>
      </c>
      <c r="AB87" s="96">
        <v>0</v>
      </c>
      <c r="AC87" s="96">
        <f t="shared" si="58"/>
        <v>8.4875584124068981E-2</v>
      </c>
      <c r="AD87" s="98">
        <f t="shared" si="59"/>
        <v>8.4875584124068981E-2</v>
      </c>
      <c r="AE87" s="97">
        <f t="shared" si="60"/>
        <v>4.8545185185185193</v>
      </c>
      <c r="AF87" s="96">
        <f t="shared" si="61"/>
        <v>2.9133414513933822</v>
      </c>
      <c r="AG87" s="96">
        <f t="shared" si="50"/>
        <v>3.7345257014590356E-2</v>
      </c>
      <c r="AH87" s="96">
        <f t="shared" si="51"/>
        <v>6.5100659340659339</v>
      </c>
      <c r="AI87" s="98">
        <f t="shared" si="62"/>
        <v>6.5474111910805242</v>
      </c>
      <c r="AJ87" s="97">
        <f t="shared" si="63"/>
        <v>4.2666666666666666</v>
      </c>
      <c r="AK87" s="96">
        <f t="shared" si="64"/>
        <v>6.3719618458944121</v>
      </c>
      <c r="AL87" s="96">
        <f t="shared" si="65"/>
        <v>0.27733333333333332</v>
      </c>
      <c r="AM87" s="96">
        <f t="shared" si="52"/>
        <v>4.8104000000000005</v>
      </c>
      <c r="AN87" s="98">
        <f t="shared" si="66"/>
        <v>5.0877333333333334</v>
      </c>
      <c r="AO87" s="97">
        <f t="shared" si="53"/>
        <v>3.3950233649627591E-2</v>
      </c>
      <c r="AP87" s="96">
        <f t="shared" si="54"/>
        <v>0.29025000000000001</v>
      </c>
      <c r="AQ87" s="98">
        <f t="shared" si="67"/>
        <v>8.0999999999999996E-3</v>
      </c>
      <c r="AR87" s="97">
        <f t="shared" si="68"/>
        <v>11.967444758063486</v>
      </c>
      <c r="AS87" s="96">
        <f t="shared" si="69"/>
        <v>51.2</v>
      </c>
      <c r="AT87" s="98">
        <f t="shared" si="70"/>
        <v>81.05441053710534</v>
      </c>
    </row>
    <row r="88" spans="17:46" x14ac:dyDescent="0.3">
      <c r="Q88" s="32">
        <v>81</v>
      </c>
      <c r="R88" s="97">
        <f t="shared" si="43"/>
        <v>12</v>
      </c>
      <c r="S88" s="96">
        <f t="shared" si="44"/>
        <v>4.32</v>
      </c>
      <c r="T88" s="96">
        <f t="shared" si="45"/>
        <v>18</v>
      </c>
      <c r="U88" s="98">
        <f t="shared" si="46"/>
        <v>2.8800000000000003</v>
      </c>
      <c r="V88" s="97">
        <f t="shared" si="47"/>
        <v>2</v>
      </c>
      <c r="W88" s="96">
        <f t="shared" si="48"/>
        <v>0.4</v>
      </c>
      <c r="X88" s="98">
        <f t="shared" si="49"/>
        <v>0.6</v>
      </c>
      <c r="Y88" s="97">
        <f t="shared" si="55"/>
        <v>2.1818181818181821</v>
      </c>
      <c r="Z88" s="96">
        <f t="shared" si="56"/>
        <v>9.3818181818181827</v>
      </c>
      <c r="AA88" s="96">
        <f t="shared" si="57"/>
        <v>2.9480661822415106</v>
      </c>
      <c r="AB88" s="96">
        <v>0</v>
      </c>
      <c r="AC88" s="96">
        <f t="shared" si="58"/>
        <v>8.691094214876037E-2</v>
      </c>
      <c r="AD88" s="98">
        <f t="shared" si="59"/>
        <v>8.691094214876037E-2</v>
      </c>
      <c r="AE88" s="97">
        <f t="shared" si="60"/>
        <v>4.9766400000000015</v>
      </c>
      <c r="AF88" s="96">
        <f t="shared" si="61"/>
        <v>2.9480661822415106</v>
      </c>
      <c r="AG88" s="96">
        <f t="shared" si="50"/>
        <v>3.8240814545454561E-2</v>
      </c>
      <c r="AH88" s="96">
        <f t="shared" si="51"/>
        <v>6.5914417582417597</v>
      </c>
      <c r="AI88" s="98">
        <f t="shared" si="62"/>
        <v>6.629682572787214</v>
      </c>
      <c r="AJ88" s="97">
        <f t="shared" si="63"/>
        <v>4.32</v>
      </c>
      <c r="AK88" s="96">
        <f t="shared" si="64"/>
        <v>6.4406149288058687</v>
      </c>
      <c r="AL88" s="96">
        <f t="shared" si="65"/>
        <v>0.28080000000000005</v>
      </c>
      <c r="AM88" s="96">
        <f t="shared" si="52"/>
        <v>4.8104000000000005</v>
      </c>
      <c r="AN88" s="98">
        <f t="shared" si="66"/>
        <v>5.0912000000000006</v>
      </c>
      <c r="AO88" s="97">
        <f t="shared" si="53"/>
        <v>3.4764376859504148E-2</v>
      </c>
      <c r="AP88" s="96">
        <f t="shared" si="54"/>
        <v>0.29025000000000001</v>
      </c>
      <c r="AQ88" s="98">
        <f t="shared" si="67"/>
        <v>8.0999999999999996E-3</v>
      </c>
      <c r="AR88" s="97">
        <f t="shared" si="68"/>
        <v>12.05399694964672</v>
      </c>
      <c r="AS88" s="96">
        <f t="shared" si="69"/>
        <v>51.84</v>
      </c>
      <c r="AT88" s="98">
        <f t="shared" si="70"/>
        <v>81.134382688335847</v>
      </c>
    </row>
    <row r="89" spans="17:46" x14ac:dyDescent="0.3">
      <c r="Q89" s="32">
        <v>82</v>
      </c>
      <c r="R89" s="97">
        <f t="shared" si="43"/>
        <v>12</v>
      </c>
      <c r="S89" s="96">
        <f t="shared" si="44"/>
        <v>4.373333333333334</v>
      </c>
      <c r="T89" s="96">
        <f t="shared" si="45"/>
        <v>18</v>
      </c>
      <c r="U89" s="98">
        <f t="shared" si="46"/>
        <v>2.9155555555555557</v>
      </c>
      <c r="V89" s="97">
        <f t="shared" si="47"/>
        <v>2</v>
      </c>
      <c r="W89" s="96">
        <f t="shared" si="48"/>
        <v>0.4</v>
      </c>
      <c r="X89" s="98">
        <f t="shared" si="49"/>
        <v>0.6</v>
      </c>
      <c r="Y89" s="97">
        <f t="shared" si="55"/>
        <v>2.1818181818181821</v>
      </c>
      <c r="Z89" s="96">
        <f t="shared" si="56"/>
        <v>9.4707070707070713</v>
      </c>
      <c r="AA89" s="96">
        <f t="shared" si="57"/>
        <v>2.9828104888522331</v>
      </c>
      <c r="AB89" s="96">
        <v>0</v>
      </c>
      <c r="AC89" s="96">
        <f t="shared" si="58"/>
        <v>8.897158412406897E-2</v>
      </c>
      <c r="AD89" s="98">
        <f t="shared" si="59"/>
        <v>8.897158412406897E-2</v>
      </c>
      <c r="AE89" s="97">
        <f t="shared" si="60"/>
        <v>5.10027851851852</v>
      </c>
      <c r="AF89" s="96">
        <f t="shared" si="61"/>
        <v>2.9828104888522331</v>
      </c>
      <c r="AG89" s="96">
        <f t="shared" si="50"/>
        <v>3.9147497014590353E-2</v>
      </c>
      <c r="AH89" s="96">
        <f t="shared" si="51"/>
        <v>6.6728175824175837</v>
      </c>
      <c r="AI89" s="98">
        <f t="shared" si="62"/>
        <v>6.7119650794321739</v>
      </c>
      <c r="AJ89" s="97">
        <f t="shared" si="63"/>
        <v>4.373333333333334</v>
      </c>
      <c r="AK89" s="96">
        <f t="shared" si="64"/>
        <v>6.5092722356851391</v>
      </c>
      <c r="AL89" s="96">
        <f t="shared" si="65"/>
        <v>0.28426666666666672</v>
      </c>
      <c r="AM89" s="96">
        <f t="shared" si="52"/>
        <v>4.8104000000000005</v>
      </c>
      <c r="AN89" s="98">
        <f t="shared" si="66"/>
        <v>5.0946666666666669</v>
      </c>
      <c r="AO89" s="97">
        <f t="shared" si="53"/>
        <v>3.5588633649627589E-2</v>
      </c>
      <c r="AP89" s="96">
        <f t="shared" si="54"/>
        <v>0.29025000000000001</v>
      </c>
      <c r="AQ89" s="98">
        <f t="shared" si="67"/>
        <v>8.0999999999999996E-3</v>
      </c>
      <c r="AR89" s="97">
        <f t="shared" si="68"/>
        <v>12.140570379748469</v>
      </c>
      <c r="AS89" s="96">
        <f t="shared" si="69"/>
        <v>52.480000000000004</v>
      </c>
      <c r="AT89" s="98">
        <f t="shared" si="70"/>
        <v>81.21252983623738</v>
      </c>
    </row>
    <row r="90" spans="17:46" x14ac:dyDescent="0.3">
      <c r="Q90" s="32">
        <v>83</v>
      </c>
      <c r="R90" s="97">
        <f t="shared" si="43"/>
        <v>12</v>
      </c>
      <c r="S90" s="96">
        <f t="shared" si="44"/>
        <v>4.4266666666666667</v>
      </c>
      <c r="T90" s="96">
        <f t="shared" si="45"/>
        <v>18</v>
      </c>
      <c r="U90" s="98">
        <f t="shared" si="46"/>
        <v>2.9511111111111115</v>
      </c>
      <c r="V90" s="97">
        <f t="shared" si="47"/>
        <v>2</v>
      </c>
      <c r="W90" s="96">
        <f t="shared" si="48"/>
        <v>0.4</v>
      </c>
      <c r="X90" s="98">
        <f t="shared" si="49"/>
        <v>0.6</v>
      </c>
      <c r="Y90" s="97">
        <f t="shared" si="55"/>
        <v>2.1818181818181821</v>
      </c>
      <c r="Z90" s="96">
        <f t="shared" si="56"/>
        <v>9.5595959595959599</v>
      </c>
      <c r="AA90" s="96">
        <f t="shared" si="57"/>
        <v>3.0175736950403533</v>
      </c>
      <c r="AB90" s="96">
        <v>0</v>
      </c>
      <c r="AC90" s="96">
        <f t="shared" si="58"/>
        <v>9.1057510049994919E-2</v>
      </c>
      <c r="AD90" s="98">
        <f t="shared" si="59"/>
        <v>9.1057510049994919E-2</v>
      </c>
      <c r="AE90" s="97">
        <f t="shared" si="60"/>
        <v>5.2254340740740757</v>
      </c>
      <c r="AF90" s="96">
        <f t="shared" si="61"/>
        <v>3.0175736950403533</v>
      </c>
      <c r="AG90" s="96">
        <f t="shared" si="50"/>
        <v>4.0065304421997766E-2</v>
      </c>
      <c r="AH90" s="96">
        <f t="shared" si="51"/>
        <v>6.7541934065934077</v>
      </c>
      <c r="AI90" s="98">
        <f t="shared" si="62"/>
        <v>6.7942587110154058</v>
      </c>
      <c r="AJ90" s="97">
        <f t="shared" si="63"/>
        <v>4.4266666666666667</v>
      </c>
      <c r="AK90" s="96">
        <f t="shared" si="64"/>
        <v>6.5779336342689909</v>
      </c>
      <c r="AL90" s="96">
        <f t="shared" si="65"/>
        <v>0.28773333333333334</v>
      </c>
      <c r="AM90" s="96">
        <f t="shared" si="52"/>
        <v>4.8104000000000005</v>
      </c>
      <c r="AN90" s="98">
        <f t="shared" si="66"/>
        <v>5.0981333333333341</v>
      </c>
      <c r="AO90" s="97">
        <f t="shared" si="53"/>
        <v>3.642300401999797E-2</v>
      </c>
      <c r="AP90" s="96">
        <f t="shared" si="54"/>
        <v>0.29025000000000001</v>
      </c>
      <c r="AQ90" s="98">
        <f t="shared" si="67"/>
        <v>8.0999999999999996E-3</v>
      </c>
      <c r="AR90" s="97">
        <f t="shared" si="68"/>
        <v>12.227165048368738</v>
      </c>
      <c r="AS90" s="96">
        <f t="shared" si="69"/>
        <v>53.120000000000005</v>
      </c>
      <c r="AT90" s="98">
        <f t="shared" si="70"/>
        <v>81.28891277943211</v>
      </c>
    </row>
    <row r="91" spans="17:46" x14ac:dyDescent="0.3">
      <c r="Q91" s="32">
        <v>84</v>
      </c>
      <c r="R91" s="97">
        <f t="shared" si="43"/>
        <v>12</v>
      </c>
      <c r="S91" s="96">
        <f t="shared" si="44"/>
        <v>4.4800000000000004</v>
      </c>
      <c r="T91" s="96">
        <f t="shared" si="45"/>
        <v>18</v>
      </c>
      <c r="U91" s="98">
        <f t="shared" si="46"/>
        <v>2.9866666666666668</v>
      </c>
      <c r="V91" s="97">
        <f t="shared" si="47"/>
        <v>2</v>
      </c>
      <c r="W91" s="96">
        <f t="shared" si="48"/>
        <v>0.4</v>
      </c>
      <c r="X91" s="98">
        <f t="shared" si="49"/>
        <v>0.6</v>
      </c>
      <c r="Y91" s="97">
        <f t="shared" si="55"/>
        <v>2.1818181818181821</v>
      </c>
      <c r="Z91" s="96">
        <f t="shared" si="56"/>
        <v>9.6484848484848484</v>
      </c>
      <c r="AA91" s="96">
        <f t="shared" si="57"/>
        <v>3.0523551550653165</v>
      </c>
      <c r="AB91" s="96">
        <v>0</v>
      </c>
      <c r="AC91" s="96">
        <f t="shared" si="58"/>
        <v>9.3168719926538121E-2</v>
      </c>
      <c r="AD91" s="98">
        <f t="shared" si="59"/>
        <v>9.3168719926538121E-2</v>
      </c>
      <c r="AE91" s="97">
        <f t="shared" si="60"/>
        <v>5.3521066666666677</v>
      </c>
      <c r="AF91" s="96">
        <f t="shared" si="61"/>
        <v>3.0523551550653165</v>
      </c>
      <c r="AG91" s="96">
        <f t="shared" si="50"/>
        <v>4.099423676767678E-2</v>
      </c>
      <c r="AH91" s="96">
        <f t="shared" si="51"/>
        <v>6.8355692307692317</v>
      </c>
      <c r="AI91" s="98">
        <f t="shared" si="62"/>
        <v>6.8765634675369087</v>
      </c>
      <c r="AJ91" s="97">
        <f t="shared" si="63"/>
        <v>4.4800000000000004</v>
      </c>
      <c r="AK91" s="96">
        <f t="shared" si="64"/>
        <v>6.6465989977517523</v>
      </c>
      <c r="AL91" s="96">
        <f t="shared" si="65"/>
        <v>0.29120000000000001</v>
      </c>
      <c r="AM91" s="96">
        <f t="shared" si="52"/>
        <v>4.8104000000000005</v>
      </c>
      <c r="AN91" s="98">
        <f t="shared" si="66"/>
        <v>5.1016000000000004</v>
      </c>
      <c r="AO91" s="97">
        <f t="shared" si="53"/>
        <v>3.726748797061525E-2</v>
      </c>
      <c r="AP91" s="96">
        <f t="shared" si="54"/>
        <v>0.29025000000000001</v>
      </c>
      <c r="AQ91" s="98">
        <f t="shared" si="67"/>
        <v>8.0999999999999996E-3</v>
      </c>
      <c r="AR91" s="97">
        <f t="shared" si="68"/>
        <v>12.313780955507525</v>
      </c>
      <c r="AS91" s="96">
        <f t="shared" si="69"/>
        <v>53.760000000000005</v>
      </c>
      <c r="AT91" s="98">
        <f t="shared" si="70"/>
        <v>81.363589645642762</v>
      </c>
    </row>
    <row r="92" spans="17:46" x14ac:dyDescent="0.3">
      <c r="Q92" s="32">
        <v>85</v>
      </c>
      <c r="R92" s="97">
        <f t="shared" si="43"/>
        <v>12</v>
      </c>
      <c r="S92" s="96">
        <f t="shared" si="44"/>
        <v>4.5333333333333332</v>
      </c>
      <c r="T92" s="96">
        <f t="shared" si="45"/>
        <v>18</v>
      </c>
      <c r="U92" s="98">
        <f t="shared" si="46"/>
        <v>3.0222222222222221</v>
      </c>
      <c r="V92" s="97">
        <f t="shared" si="47"/>
        <v>2</v>
      </c>
      <c r="W92" s="96">
        <f t="shared" si="48"/>
        <v>0.4</v>
      </c>
      <c r="X92" s="98">
        <f t="shared" si="49"/>
        <v>0.6</v>
      </c>
      <c r="Y92" s="97">
        <f t="shared" si="55"/>
        <v>2.1818181818181821</v>
      </c>
      <c r="Z92" s="96">
        <f t="shared" si="56"/>
        <v>9.737373737373737</v>
      </c>
      <c r="AA92" s="96">
        <f t="shared" si="57"/>
        <v>3.0871542519559756</v>
      </c>
      <c r="AB92" s="96">
        <v>0</v>
      </c>
      <c r="AC92" s="96">
        <f t="shared" si="58"/>
        <v>9.5305213753698603E-2</v>
      </c>
      <c r="AD92" s="98">
        <f t="shared" si="59"/>
        <v>9.5305213753698603E-2</v>
      </c>
      <c r="AE92" s="97">
        <f t="shared" si="60"/>
        <v>5.480296296296296</v>
      </c>
      <c r="AF92" s="96">
        <f t="shared" si="61"/>
        <v>3.0871542519559756</v>
      </c>
      <c r="AG92" s="96">
        <f t="shared" si="50"/>
        <v>4.1934294051627387E-2</v>
      </c>
      <c r="AH92" s="96">
        <f t="shared" si="51"/>
        <v>6.9169450549450557</v>
      </c>
      <c r="AI92" s="98">
        <f t="shared" si="62"/>
        <v>6.9588793489966827</v>
      </c>
      <c r="AJ92" s="97">
        <f t="shared" si="63"/>
        <v>4.5333333333333332</v>
      </c>
      <c r="AK92" s="96">
        <f t="shared" si="64"/>
        <v>6.7152682045070557</v>
      </c>
      <c r="AL92" s="96">
        <f t="shared" si="65"/>
        <v>0.29466666666666669</v>
      </c>
      <c r="AM92" s="96">
        <f t="shared" si="52"/>
        <v>4.8104000000000005</v>
      </c>
      <c r="AN92" s="98">
        <f t="shared" si="66"/>
        <v>5.1050666666666675</v>
      </c>
      <c r="AO92" s="97">
        <f t="shared" si="53"/>
        <v>3.8122085501479441E-2</v>
      </c>
      <c r="AP92" s="96">
        <f t="shared" si="54"/>
        <v>0.29025000000000001</v>
      </c>
      <c r="AQ92" s="98">
        <f t="shared" si="67"/>
        <v>8.0999999999999996E-3</v>
      </c>
      <c r="AR92" s="97">
        <f t="shared" si="68"/>
        <v>12.40041810116483</v>
      </c>
      <c r="AS92" s="96">
        <f t="shared" si="69"/>
        <v>54.4</v>
      </c>
      <c r="AT92" s="98">
        <f t="shared" si="70"/>
        <v>81.436616036766111</v>
      </c>
    </row>
    <row r="93" spans="17:46" x14ac:dyDescent="0.3">
      <c r="Q93" s="32">
        <v>86</v>
      </c>
      <c r="R93" s="97">
        <f t="shared" si="43"/>
        <v>12</v>
      </c>
      <c r="S93" s="96">
        <f t="shared" si="44"/>
        <v>4.5866666666666669</v>
      </c>
      <c r="T93" s="96">
        <f t="shared" si="45"/>
        <v>18</v>
      </c>
      <c r="U93" s="98">
        <f t="shared" si="46"/>
        <v>3.0577777777777779</v>
      </c>
      <c r="V93" s="97">
        <f t="shared" si="47"/>
        <v>2</v>
      </c>
      <c r="W93" s="96">
        <f t="shared" si="48"/>
        <v>0.4</v>
      </c>
      <c r="X93" s="98">
        <f t="shared" si="49"/>
        <v>0.6</v>
      </c>
      <c r="Y93" s="97">
        <f t="shared" si="55"/>
        <v>2.1818181818181821</v>
      </c>
      <c r="Z93" s="96">
        <f t="shared" si="56"/>
        <v>9.8262626262626274</v>
      </c>
      <c r="AA93" s="96">
        <f t="shared" si="57"/>
        <v>3.1219703959435043</v>
      </c>
      <c r="AB93" s="96">
        <v>0</v>
      </c>
      <c r="AC93" s="96">
        <f t="shared" si="58"/>
        <v>9.7466991531476421E-2</v>
      </c>
      <c r="AD93" s="98">
        <f t="shared" si="59"/>
        <v>9.7466991531476421E-2</v>
      </c>
      <c r="AE93" s="97">
        <f t="shared" si="60"/>
        <v>5.6100029629629642</v>
      </c>
      <c r="AF93" s="96">
        <f t="shared" si="61"/>
        <v>3.1219703959435043</v>
      </c>
      <c r="AG93" s="96">
        <f t="shared" si="50"/>
        <v>4.2885476273849629E-2</v>
      </c>
      <c r="AH93" s="96">
        <f t="shared" si="51"/>
        <v>6.9983208791208797</v>
      </c>
      <c r="AI93" s="98">
        <f t="shared" si="62"/>
        <v>7.0412063553947295</v>
      </c>
      <c r="AJ93" s="97">
        <f t="shared" si="63"/>
        <v>4.5866666666666669</v>
      </c>
      <c r="AK93" s="96">
        <f t="shared" si="64"/>
        <v>6.783941137826428</v>
      </c>
      <c r="AL93" s="96">
        <f t="shared" si="65"/>
        <v>0.29813333333333336</v>
      </c>
      <c r="AM93" s="96">
        <f t="shared" si="52"/>
        <v>4.8104000000000005</v>
      </c>
      <c r="AN93" s="98">
        <f t="shared" si="66"/>
        <v>5.1085333333333338</v>
      </c>
      <c r="AO93" s="97">
        <f t="shared" si="53"/>
        <v>3.8986796612590566E-2</v>
      </c>
      <c r="AP93" s="96">
        <f t="shared" si="54"/>
        <v>0.29025000000000001</v>
      </c>
      <c r="AQ93" s="98">
        <f t="shared" si="67"/>
        <v>8.0999999999999996E-3</v>
      </c>
      <c r="AR93" s="97">
        <f t="shared" si="68"/>
        <v>12.487076485340655</v>
      </c>
      <c r="AS93" s="96">
        <f t="shared" si="69"/>
        <v>55.040000000000006</v>
      </c>
      <c r="AT93" s="98">
        <f t="shared" si="70"/>
        <v>81.508045164591934</v>
      </c>
    </row>
    <row r="94" spans="17:46" x14ac:dyDescent="0.3">
      <c r="Q94" s="32">
        <v>87</v>
      </c>
      <c r="R94" s="97">
        <f t="shared" si="43"/>
        <v>12</v>
      </c>
      <c r="S94" s="96">
        <f t="shared" si="44"/>
        <v>4.6400000000000006</v>
      </c>
      <c r="T94" s="96">
        <f t="shared" si="45"/>
        <v>18</v>
      </c>
      <c r="U94" s="98">
        <f t="shared" si="46"/>
        <v>3.0933333333333337</v>
      </c>
      <c r="V94" s="97">
        <f t="shared" si="47"/>
        <v>2</v>
      </c>
      <c r="W94" s="96">
        <f t="shared" si="48"/>
        <v>0.4</v>
      </c>
      <c r="X94" s="98">
        <f t="shared" si="49"/>
        <v>0.6</v>
      </c>
      <c r="Y94" s="97">
        <f t="shared" si="55"/>
        <v>2.1818181818181821</v>
      </c>
      <c r="Z94" s="96">
        <f t="shared" si="56"/>
        <v>9.9151515151515159</v>
      </c>
      <c r="AA94" s="96">
        <f t="shared" si="57"/>
        <v>3.1568030229944894</v>
      </c>
      <c r="AB94" s="96">
        <v>0</v>
      </c>
      <c r="AC94" s="96">
        <f t="shared" si="58"/>
        <v>9.9654053259871478E-2</v>
      </c>
      <c r="AD94" s="98">
        <f t="shared" si="59"/>
        <v>9.9654053259871478E-2</v>
      </c>
      <c r="AE94" s="97">
        <f t="shared" si="60"/>
        <v>5.7412266666666687</v>
      </c>
      <c r="AF94" s="96">
        <f t="shared" si="61"/>
        <v>3.1568030229944894</v>
      </c>
      <c r="AG94" s="96">
        <f t="shared" si="50"/>
        <v>4.3847783434343451E-2</v>
      </c>
      <c r="AH94" s="96">
        <f t="shared" si="51"/>
        <v>7.0796967032967046</v>
      </c>
      <c r="AI94" s="98">
        <f t="shared" si="62"/>
        <v>7.1235444867310482</v>
      </c>
      <c r="AJ94" s="97">
        <f t="shared" si="63"/>
        <v>4.6400000000000006</v>
      </c>
      <c r="AK94" s="96">
        <f t="shared" si="64"/>
        <v>6.8526176856735201</v>
      </c>
      <c r="AL94" s="96">
        <f t="shared" si="65"/>
        <v>0.30160000000000003</v>
      </c>
      <c r="AM94" s="96">
        <f t="shared" si="52"/>
        <v>4.8104000000000005</v>
      </c>
      <c r="AN94" s="98">
        <f t="shared" si="66"/>
        <v>5.1120000000000001</v>
      </c>
      <c r="AO94" s="97">
        <f t="shared" si="53"/>
        <v>3.9861621303948588E-2</v>
      </c>
      <c r="AP94" s="96">
        <f t="shared" si="54"/>
        <v>0.29025000000000001</v>
      </c>
      <c r="AQ94" s="98">
        <f t="shared" si="67"/>
        <v>8.0999999999999996E-3</v>
      </c>
      <c r="AR94" s="97">
        <f t="shared" si="68"/>
        <v>12.573756108034997</v>
      </c>
      <c r="AS94" s="96">
        <f t="shared" si="69"/>
        <v>55.680000000000007</v>
      </c>
      <c r="AT94" s="98">
        <f t="shared" si="70"/>
        <v>81.577927977864391</v>
      </c>
    </row>
    <row r="95" spans="17:46" x14ac:dyDescent="0.3">
      <c r="Q95" s="32">
        <v>88</v>
      </c>
      <c r="R95" s="97">
        <f t="shared" si="43"/>
        <v>12</v>
      </c>
      <c r="S95" s="96">
        <f t="shared" si="44"/>
        <v>4.6933333333333334</v>
      </c>
      <c r="T95" s="96">
        <f t="shared" si="45"/>
        <v>18</v>
      </c>
      <c r="U95" s="98">
        <f t="shared" si="46"/>
        <v>3.1288888888888891</v>
      </c>
      <c r="V95" s="97">
        <f t="shared" si="47"/>
        <v>2</v>
      </c>
      <c r="W95" s="96">
        <f t="shared" si="48"/>
        <v>0.4</v>
      </c>
      <c r="X95" s="98">
        <f t="shared" si="49"/>
        <v>0.6</v>
      </c>
      <c r="Y95" s="97">
        <f t="shared" si="55"/>
        <v>2.1818181818181821</v>
      </c>
      <c r="Z95" s="96">
        <f t="shared" si="56"/>
        <v>10.004040404040405</v>
      </c>
      <c r="AA95" s="96">
        <f t="shared" si="57"/>
        <v>3.1916515934369118</v>
      </c>
      <c r="AB95" s="96">
        <v>0</v>
      </c>
      <c r="AC95" s="96">
        <f t="shared" si="58"/>
        <v>0.10186639893888379</v>
      </c>
      <c r="AD95" s="98">
        <f t="shared" si="59"/>
        <v>0.10186639893888379</v>
      </c>
      <c r="AE95" s="97">
        <f t="shared" si="60"/>
        <v>5.8739674074074077</v>
      </c>
      <c r="AF95" s="96">
        <f t="shared" si="61"/>
        <v>3.1916515934369118</v>
      </c>
      <c r="AG95" s="96">
        <f t="shared" si="50"/>
        <v>4.4821215533108867E-2</v>
      </c>
      <c r="AH95" s="96">
        <f t="shared" si="51"/>
        <v>7.1610725274725286</v>
      </c>
      <c r="AI95" s="98">
        <f t="shared" si="62"/>
        <v>7.2058937430056371</v>
      </c>
      <c r="AJ95" s="97">
        <f t="shared" si="63"/>
        <v>4.6933333333333334</v>
      </c>
      <c r="AK95" s="96">
        <f t="shared" si="64"/>
        <v>6.9212977404529248</v>
      </c>
      <c r="AL95" s="96">
        <f t="shared" si="65"/>
        <v>0.30506666666666665</v>
      </c>
      <c r="AM95" s="96">
        <f t="shared" si="52"/>
        <v>4.8104000000000005</v>
      </c>
      <c r="AN95" s="98">
        <f t="shared" si="66"/>
        <v>5.1154666666666673</v>
      </c>
      <c r="AO95" s="97">
        <f t="shared" si="53"/>
        <v>4.0746559575553516E-2</v>
      </c>
      <c r="AP95" s="96">
        <f t="shared" si="54"/>
        <v>0.29025000000000001</v>
      </c>
      <c r="AQ95" s="98">
        <f t="shared" si="67"/>
        <v>8.0999999999999996E-3</v>
      </c>
      <c r="AR95" s="97">
        <f t="shared" si="68"/>
        <v>12.660456969247859</v>
      </c>
      <c r="AS95" s="96">
        <f t="shared" si="69"/>
        <v>56.32</v>
      </c>
      <c r="AT95" s="98">
        <f t="shared" si="70"/>
        <v>81.646313281322563</v>
      </c>
    </row>
    <row r="96" spans="17:46" x14ac:dyDescent="0.3">
      <c r="Q96" s="32">
        <v>89</v>
      </c>
      <c r="R96" s="97">
        <f t="shared" si="43"/>
        <v>12</v>
      </c>
      <c r="S96" s="96">
        <f t="shared" si="44"/>
        <v>4.746666666666667</v>
      </c>
      <c r="T96" s="96">
        <f t="shared" si="45"/>
        <v>18</v>
      </c>
      <c r="U96" s="98">
        <f t="shared" si="46"/>
        <v>3.1644444444444448</v>
      </c>
      <c r="V96" s="97">
        <f t="shared" si="47"/>
        <v>2</v>
      </c>
      <c r="W96" s="96">
        <f t="shared" si="48"/>
        <v>0.4</v>
      </c>
      <c r="X96" s="98">
        <f t="shared" si="49"/>
        <v>0.6</v>
      </c>
      <c r="Y96" s="97">
        <f t="shared" si="55"/>
        <v>2.1818181818181821</v>
      </c>
      <c r="Z96" s="96">
        <f t="shared" si="56"/>
        <v>10.092929292929293</v>
      </c>
      <c r="AA96" s="96">
        <f t="shared" si="57"/>
        <v>3.2265155906722884</v>
      </c>
      <c r="AB96" s="96">
        <v>0</v>
      </c>
      <c r="AC96" s="96">
        <f t="shared" si="58"/>
        <v>0.10410402856851347</v>
      </c>
      <c r="AD96" s="98">
        <f t="shared" si="59"/>
        <v>0.10410402856851347</v>
      </c>
      <c r="AE96" s="97">
        <f t="shared" si="60"/>
        <v>6.0082251851851867</v>
      </c>
      <c r="AF96" s="96">
        <f t="shared" si="61"/>
        <v>3.2265155906722884</v>
      </c>
      <c r="AG96" s="96">
        <f t="shared" si="50"/>
        <v>4.5805772570145925E-2</v>
      </c>
      <c r="AH96" s="96">
        <f t="shared" si="51"/>
        <v>7.2424483516483527</v>
      </c>
      <c r="AI96" s="98">
        <f t="shared" si="62"/>
        <v>7.2882541242184988</v>
      </c>
      <c r="AJ96" s="97">
        <f t="shared" si="63"/>
        <v>4.746666666666667</v>
      </c>
      <c r="AK96" s="96">
        <f t="shared" si="64"/>
        <v>6.9899811987925631</v>
      </c>
      <c r="AL96" s="96">
        <f t="shared" si="65"/>
        <v>0.30853333333333338</v>
      </c>
      <c r="AM96" s="96">
        <f t="shared" si="52"/>
        <v>4.8104000000000005</v>
      </c>
      <c r="AN96" s="98">
        <f t="shared" si="66"/>
        <v>5.1189333333333336</v>
      </c>
      <c r="AO96" s="97">
        <f t="shared" si="53"/>
        <v>4.1641611427405391E-2</v>
      </c>
      <c r="AP96" s="96">
        <f t="shared" si="54"/>
        <v>0.29025000000000001</v>
      </c>
      <c r="AQ96" s="98">
        <f t="shared" si="67"/>
        <v>8.0999999999999996E-3</v>
      </c>
      <c r="AR96" s="97">
        <f t="shared" si="68"/>
        <v>12.747179068979237</v>
      </c>
      <c r="AS96" s="96">
        <f t="shared" si="69"/>
        <v>56.960000000000008</v>
      </c>
      <c r="AT96" s="98">
        <f t="shared" si="70"/>
        <v>81.713247847305411</v>
      </c>
    </row>
    <row r="97" spans="17:46" x14ac:dyDescent="0.3">
      <c r="Q97" s="32">
        <v>90</v>
      </c>
      <c r="R97" s="97">
        <f t="shared" si="43"/>
        <v>12</v>
      </c>
      <c r="S97" s="96">
        <f t="shared" si="44"/>
        <v>4.8000000000000007</v>
      </c>
      <c r="T97" s="96">
        <f t="shared" si="45"/>
        <v>18</v>
      </c>
      <c r="U97" s="98">
        <f t="shared" si="46"/>
        <v>3.2000000000000006</v>
      </c>
      <c r="V97" s="97">
        <f t="shared" si="47"/>
        <v>2</v>
      </c>
      <c r="W97" s="96">
        <f t="shared" si="48"/>
        <v>0.4</v>
      </c>
      <c r="X97" s="98">
        <f t="shared" si="49"/>
        <v>0.6</v>
      </c>
      <c r="Y97" s="97">
        <f t="shared" si="55"/>
        <v>2.1818181818181821</v>
      </c>
      <c r="Z97" s="96">
        <f t="shared" si="56"/>
        <v>10.181818181818183</v>
      </c>
      <c r="AA97" s="96">
        <f t="shared" si="57"/>
        <v>3.2613945199678063</v>
      </c>
      <c r="AB97" s="96">
        <v>0</v>
      </c>
      <c r="AC97" s="96">
        <f t="shared" si="58"/>
        <v>0.10636694214876037</v>
      </c>
      <c r="AD97" s="98">
        <f t="shared" si="59"/>
        <v>0.10636694214876037</v>
      </c>
      <c r="AE97" s="97">
        <f t="shared" si="60"/>
        <v>6.1440000000000019</v>
      </c>
      <c r="AF97" s="96">
        <f t="shared" si="61"/>
        <v>3.2613945199678063</v>
      </c>
      <c r="AG97" s="96">
        <f t="shared" si="50"/>
        <v>4.680145454545457E-2</v>
      </c>
      <c r="AH97" s="96">
        <f t="shared" si="51"/>
        <v>7.3238241758241784</v>
      </c>
      <c r="AI97" s="98">
        <f t="shared" si="62"/>
        <v>7.3706256303696334</v>
      </c>
      <c r="AJ97" s="97">
        <f t="shared" si="63"/>
        <v>4.8000000000000007</v>
      </c>
      <c r="AK97" s="96">
        <f t="shared" si="64"/>
        <v>7.0586679613387231</v>
      </c>
      <c r="AL97" s="96">
        <f t="shared" si="65"/>
        <v>0.31200000000000006</v>
      </c>
      <c r="AM97" s="96">
        <f t="shared" si="52"/>
        <v>4.8104000000000005</v>
      </c>
      <c r="AN97" s="98">
        <f t="shared" si="66"/>
        <v>5.1224000000000007</v>
      </c>
      <c r="AO97" s="97">
        <f t="shared" si="53"/>
        <v>4.254677685950415E-2</v>
      </c>
      <c r="AP97" s="96">
        <f t="shared" si="54"/>
        <v>0.29025000000000001</v>
      </c>
      <c r="AQ97" s="98">
        <f t="shared" si="67"/>
        <v>8.0999999999999996E-3</v>
      </c>
      <c r="AR97" s="97">
        <f t="shared" si="68"/>
        <v>12.83392240722914</v>
      </c>
      <c r="AS97" s="96">
        <f t="shared" si="69"/>
        <v>57.600000000000009</v>
      </c>
      <c r="AT97" s="98">
        <f t="shared" si="70"/>
        <v>81.778776520457001</v>
      </c>
    </row>
    <row r="98" spans="17:46" x14ac:dyDescent="0.3">
      <c r="Q98" s="32">
        <v>91</v>
      </c>
      <c r="R98" s="97">
        <f t="shared" si="43"/>
        <v>12</v>
      </c>
      <c r="S98" s="96">
        <f t="shared" si="44"/>
        <v>4.8533333333333335</v>
      </c>
      <c r="T98" s="96">
        <f t="shared" si="45"/>
        <v>18</v>
      </c>
      <c r="U98" s="98">
        <f t="shared" si="46"/>
        <v>3.2355555555555555</v>
      </c>
      <c r="V98" s="97">
        <f t="shared" si="47"/>
        <v>2</v>
      </c>
      <c r="W98" s="96">
        <f t="shared" si="48"/>
        <v>0.4</v>
      </c>
      <c r="X98" s="98">
        <f t="shared" si="49"/>
        <v>0.6</v>
      </c>
      <c r="Y98" s="97">
        <f t="shared" si="55"/>
        <v>2.1818181818181821</v>
      </c>
      <c r="Z98" s="96">
        <f t="shared" si="56"/>
        <v>10.27070707070707</v>
      </c>
      <c r="AA98" s="96">
        <f t="shared" si="57"/>
        <v>3.2962879073227893</v>
      </c>
      <c r="AB98" s="96">
        <v>0</v>
      </c>
      <c r="AC98" s="96">
        <f t="shared" si="58"/>
        <v>0.10865513967962454</v>
      </c>
      <c r="AD98" s="98">
        <f t="shared" si="59"/>
        <v>0.10865513967962454</v>
      </c>
      <c r="AE98" s="97">
        <f t="shared" si="60"/>
        <v>6.2812918518518526</v>
      </c>
      <c r="AF98" s="96">
        <f t="shared" si="61"/>
        <v>3.2962879073227893</v>
      </c>
      <c r="AG98" s="96">
        <f t="shared" si="50"/>
        <v>4.7808261459034794E-2</v>
      </c>
      <c r="AH98" s="96">
        <f t="shared" si="51"/>
        <v>7.4052000000000007</v>
      </c>
      <c r="AI98" s="98">
        <f t="shared" si="62"/>
        <v>7.4530082614590354</v>
      </c>
      <c r="AJ98" s="97">
        <f t="shared" si="63"/>
        <v>4.8533333333333335</v>
      </c>
      <c r="AK98" s="96">
        <f t="shared" si="64"/>
        <v>7.1273579325629104</v>
      </c>
      <c r="AL98" s="96">
        <f t="shared" si="65"/>
        <v>0.31546666666666667</v>
      </c>
      <c r="AM98" s="96">
        <f t="shared" si="52"/>
        <v>4.8104000000000005</v>
      </c>
      <c r="AN98" s="98">
        <f t="shared" si="66"/>
        <v>5.125866666666667</v>
      </c>
      <c r="AO98" s="97">
        <f t="shared" si="53"/>
        <v>4.3462055871849814E-2</v>
      </c>
      <c r="AP98" s="96">
        <f t="shared" si="54"/>
        <v>0.29025000000000001</v>
      </c>
      <c r="AQ98" s="98">
        <f t="shared" si="67"/>
        <v>8.0999999999999996E-3</v>
      </c>
      <c r="AR98" s="97">
        <f t="shared" si="68"/>
        <v>12.920686983997554</v>
      </c>
      <c r="AS98" s="96">
        <f t="shared" si="69"/>
        <v>58.24</v>
      </c>
      <c r="AT98" s="98">
        <f t="shared" si="70"/>
        <v>81.84294231602469</v>
      </c>
    </row>
    <row r="99" spans="17:46" x14ac:dyDescent="0.3">
      <c r="Q99" s="32">
        <v>92</v>
      </c>
      <c r="R99" s="97">
        <f t="shared" si="43"/>
        <v>12</v>
      </c>
      <c r="S99" s="96">
        <f t="shared" si="44"/>
        <v>4.9066666666666672</v>
      </c>
      <c r="T99" s="96">
        <f t="shared" si="45"/>
        <v>18</v>
      </c>
      <c r="U99" s="98">
        <f t="shared" si="46"/>
        <v>3.2711111111111117</v>
      </c>
      <c r="V99" s="97">
        <f t="shared" si="47"/>
        <v>2</v>
      </c>
      <c r="W99" s="96">
        <f t="shared" si="48"/>
        <v>0.4</v>
      </c>
      <c r="X99" s="98">
        <f t="shared" si="49"/>
        <v>0.6</v>
      </c>
      <c r="Y99" s="97">
        <f t="shared" si="55"/>
        <v>2.1818181818181821</v>
      </c>
      <c r="Z99" s="96">
        <f t="shared" si="56"/>
        <v>10.359595959595961</v>
      </c>
      <c r="AA99" s="96">
        <f t="shared" si="57"/>
        <v>3.3311952984042539</v>
      </c>
      <c r="AB99" s="96">
        <v>0</v>
      </c>
      <c r="AC99" s="96">
        <f t="shared" si="58"/>
        <v>0.11096862116110606</v>
      </c>
      <c r="AD99" s="98">
        <f t="shared" si="59"/>
        <v>0.11096862116110606</v>
      </c>
      <c r="AE99" s="97">
        <f t="shared" si="60"/>
        <v>6.4201007407407431</v>
      </c>
      <c r="AF99" s="96">
        <f t="shared" si="61"/>
        <v>3.3311952984042539</v>
      </c>
      <c r="AG99" s="96">
        <f t="shared" si="50"/>
        <v>4.8826193310886667E-2</v>
      </c>
      <c r="AH99" s="96">
        <f t="shared" si="51"/>
        <v>7.4865758241758265</v>
      </c>
      <c r="AI99" s="98">
        <f t="shared" si="62"/>
        <v>7.5354020174867129</v>
      </c>
      <c r="AJ99" s="97">
        <f t="shared" si="63"/>
        <v>4.9066666666666672</v>
      </c>
      <c r="AK99" s="96">
        <f t="shared" si="64"/>
        <v>7.1960510205797359</v>
      </c>
      <c r="AL99" s="96">
        <f t="shared" si="65"/>
        <v>0.3189333333333334</v>
      </c>
      <c r="AM99" s="96">
        <f t="shared" si="52"/>
        <v>4.8104000000000005</v>
      </c>
      <c r="AN99" s="98">
        <f t="shared" si="66"/>
        <v>5.1293333333333342</v>
      </c>
      <c r="AO99" s="97">
        <f t="shared" si="53"/>
        <v>4.4387448464442425E-2</v>
      </c>
      <c r="AP99" s="96">
        <f t="shared" si="54"/>
        <v>0.29025000000000001</v>
      </c>
      <c r="AQ99" s="98">
        <f t="shared" si="67"/>
        <v>8.0999999999999996E-3</v>
      </c>
      <c r="AR99" s="97">
        <f t="shared" si="68"/>
        <v>13.007472799284491</v>
      </c>
      <c r="AS99" s="96">
        <f t="shared" si="69"/>
        <v>58.88000000000001</v>
      </c>
      <c r="AT99" s="98">
        <f t="shared" si="70"/>
        <v>81.905786512203065</v>
      </c>
    </row>
    <row r="100" spans="17:46" x14ac:dyDescent="0.3">
      <c r="Q100" s="32">
        <v>93</v>
      </c>
      <c r="R100" s="97">
        <f t="shared" si="43"/>
        <v>12</v>
      </c>
      <c r="S100" s="96">
        <f t="shared" si="44"/>
        <v>4.96</v>
      </c>
      <c r="T100" s="96">
        <f t="shared" si="45"/>
        <v>18</v>
      </c>
      <c r="U100" s="98">
        <f t="shared" si="46"/>
        <v>3.3066666666666666</v>
      </c>
      <c r="V100" s="97">
        <f t="shared" si="47"/>
        <v>2</v>
      </c>
      <c r="W100" s="96">
        <f t="shared" si="48"/>
        <v>0.4</v>
      </c>
      <c r="X100" s="98">
        <f t="shared" si="49"/>
        <v>0.6</v>
      </c>
      <c r="Y100" s="97">
        <f t="shared" si="55"/>
        <v>2.1818181818181821</v>
      </c>
      <c r="Z100" s="96">
        <f t="shared" si="56"/>
        <v>10.448484848484847</v>
      </c>
      <c r="AA100" s="96">
        <f t="shared" si="57"/>
        <v>3.3661162575467412</v>
      </c>
      <c r="AB100" s="96">
        <v>0</v>
      </c>
      <c r="AC100" s="96">
        <f t="shared" si="58"/>
        <v>0.1133073865932048</v>
      </c>
      <c r="AD100" s="98">
        <f t="shared" si="59"/>
        <v>0.1133073865932048</v>
      </c>
      <c r="AE100" s="97">
        <f t="shared" si="60"/>
        <v>6.5604266666666664</v>
      </c>
      <c r="AF100" s="96">
        <f t="shared" si="61"/>
        <v>3.3661162575467412</v>
      </c>
      <c r="AG100" s="96">
        <f t="shared" si="50"/>
        <v>4.9855250101010114E-2</v>
      </c>
      <c r="AH100" s="96">
        <f t="shared" si="51"/>
        <v>7.5679516483516487</v>
      </c>
      <c r="AI100" s="98">
        <f t="shared" si="62"/>
        <v>7.6178068984526588</v>
      </c>
      <c r="AJ100" s="97">
        <f t="shared" si="63"/>
        <v>4.96</v>
      </c>
      <c r="AK100" s="96">
        <f t="shared" si="64"/>
        <v>7.2647471369750587</v>
      </c>
      <c r="AL100" s="96">
        <f t="shared" si="65"/>
        <v>0.32240000000000002</v>
      </c>
      <c r="AM100" s="96">
        <f t="shared" si="52"/>
        <v>4.8104000000000005</v>
      </c>
      <c r="AN100" s="98">
        <f t="shared" si="66"/>
        <v>5.1328000000000005</v>
      </c>
      <c r="AO100" s="97">
        <f t="shared" si="53"/>
        <v>4.532295463728192E-2</v>
      </c>
      <c r="AP100" s="96">
        <f t="shared" si="54"/>
        <v>0.29025000000000001</v>
      </c>
      <c r="AQ100" s="98">
        <f t="shared" si="67"/>
        <v>8.0999999999999996E-3</v>
      </c>
      <c r="AR100" s="97">
        <f t="shared" si="68"/>
        <v>13.094279853089942</v>
      </c>
      <c r="AS100" s="96">
        <f t="shared" si="69"/>
        <v>59.519999999999996</v>
      </c>
      <c r="AT100" s="98">
        <f t="shared" si="70"/>
        <v>81.967348736940281</v>
      </c>
    </row>
    <row r="101" spans="17:46" x14ac:dyDescent="0.3">
      <c r="Q101" s="32">
        <v>94</v>
      </c>
      <c r="R101" s="97">
        <f t="shared" si="43"/>
        <v>12</v>
      </c>
      <c r="S101" s="96">
        <f t="shared" si="44"/>
        <v>5.0133333333333336</v>
      </c>
      <c r="T101" s="96">
        <f t="shared" si="45"/>
        <v>18</v>
      </c>
      <c r="U101" s="98">
        <f t="shared" si="46"/>
        <v>3.3422222222222224</v>
      </c>
      <c r="V101" s="97">
        <f t="shared" si="47"/>
        <v>2</v>
      </c>
      <c r="W101" s="96">
        <f t="shared" si="48"/>
        <v>0.4</v>
      </c>
      <c r="X101" s="98">
        <f t="shared" si="49"/>
        <v>0.6</v>
      </c>
      <c r="Y101" s="97">
        <f t="shared" si="55"/>
        <v>2.1818181818181821</v>
      </c>
      <c r="Z101" s="96">
        <f t="shared" si="56"/>
        <v>10.537373737373738</v>
      </c>
      <c r="AA101" s="96">
        <f t="shared" si="57"/>
        <v>3.4010503668120067</v>
      </c>
      <c r="AB101" s="96">
        <v>0</v>
      </c>
      <c r="AC101" s="96">
        <f t="shared" si="58"/>
        <v>0.11567143597592086</v>
      </c>
      <c r="AD101" s="98">
        <f t="shared" si="59"/>
        <v>0.11567143597592086</v>
      </c>
      <c r="AE101" s="97">
        <f t="shared" si="60"/>
        <v>6.7022696296296305</v>
      </c>
      <c r="AF101" s="96">
        <f t="shared" si="61"/>
        <v>3.4010503668120067</v>
      </c>
      <c r="AG101" s="96">
        <f t="shared" si="50"/>
        <v>5.0895431829405181E-2</v>
      </c>
      <c r="AH101" s="96">
        <f t="shared" si="51"/>
        <v>7.6493274725274736</v>
      </c>
      <c r="AI101" s="98">
        <f t="shared" si="62"/>
        <v>7.7002229043568784</v>
      </c>
      <c r="AJ101" s="97">
        <f t="shared" si="63"/>
        <v>5.0133333333333336</v>
      </c>
      <c r="AK101" s="96">
        <f t="shared" si="64"/>
        <v>7.3334461966438047</v>
      </c>
      <c r="AL101" s="96">
        <f t="shared" si="65"/>
        <v>0.32586666666666669</v>
      </c>
      <c r="AM101" s="96">
        <f t="shared" si="52"/>
        <v>4.8104000000000005</v>
      </c>
      <c r="AN101" s="98">
        <f t="shared" si="66"/>
        <v>5.1362666666666668</v>
      </c>
      <c r="AO101" s="97">
        <f t="shared" si="53"/>
        <v>4.6268574390368342E-2</v>
      </c>
      <c r="AP101" s="96">
        <f t="shared" si="54"/>
        <v>0.29025000000000001</v>
      </c>
      <c r="AQ101" s="98">
        <f t="shared" si="67"/>
        <v>8.0999999999999996E-3</v>
      </c>
      <c r="AR101" s="97">
        <f t="shared" si="68"/>
        <v>13.181108145413914</v>
      </c>
      <c r="AS101" s="96">
        <f t="shared" si="69"/>
        <v>60.160000000000004</v>
      </c>
      <c r="AT101" s="98">
        <f t="shared" si="70"/>
        <v>82.027667049590207</v>
      </c>
    </row>
    <row r="102" spans="17:46" x14ac:dyDescent="0.3">
      <c r="Q102" s="32">
        <v>95</v>
      </c>
      <c r="R102" s="97">
        <f t="shared" si="43"/>
        <v>12</v>
      </c>
      <c r="S102" s="96">
        <f t="shared" si="44"/>
        <v>5.0666666666666673</v>
      </c>
      <c r="T102" s="96">
        <f t="shared" si="45"/>
        <v>18</v>
      </c>
      <c r="U102" s="98">
        <f t="shared" si="46"/>
        <v>3.3777777777777782</v>
      </c>
      <c r="V102" s="97">
        <f t="shared" si="47"/>
        <v>2</v>
      </c>
      <c r="W102" s="96">
        <f t="shared" si="48"/>
        <v>0.4</v>
      </c>
      <c r="X102" s="98">
        <f t="shared" si="49"/>
        <v>0.6</v>
      </c>
      <c r="Y102" s="97">
        <f t="shared" si="55"/>
        <v>2.1818181818181821</v>
      </c>
      <c r="Z102" s="96">
        <f t="shared" si="56"/>
        <v>10.626262626262628</v>
      </c>
      <c r="AA102" s="96">
        <f t="shared" si="57"/>
        <v>3.4359972251044413</v>
      </c>
      <c r="AB102" s="96">
        <v>0</v>
      </c>
      <c r="AC102" s="96">
        <f t="shared" si="58"/>
        <v>0.11806076930925422</v>
      </c>
      <c r="AD102" s="98">
        <f t="shared" si="59"/>
        <v>0.11806076930925422</v>
      </c>
      <c r="AE102" s="97">
        <f t="shared" si="60"/>
        <v>6.8456296296296317</v>
      </c>
      <c r="AF102" s="96">
        <f t="shared" si="61"/>
        <v>3.4359972251044413</v>
      </c>
      <c r="AG102" s="96">
        <f t="shared" si="50"/>
        <v>5.1946738496071856E-2</v>
      </c>
      <c r="AH102" s="96">
        <f t="shared" si="51"/>
        <v>7.7307032967032994</v>
      </c>
      <c r="AI102" s="98">
        <f t="shared" si="62"/>
        <v>7.7826500351993708</v>
      </c>
      <c r="AJ102" s="97">
        <f t="shared" si="63"/>
        <v>5.0666666666666673</v>
      </c>
      <c r="AK102" s="96">
        <f t="shared" si="64"/>
        <v>7.4021481176367399</v>
      </c>
      <c r="AL102" s="96">
        <f t="shared" si="65"/>
        <v>0.32933333333333337</v>
      </c>
      <c r="AM102" s="96">
        <f t="shared" si="52"/>
        <v>4.8104000000000005</v>
      </c>
      <c r="AN102" s="98">
        <f t="shared" si="66"/>
        <v>5.1397333333333339</v>
      </c>
      <c r="AO102" s="97">
        <f t="shared" si="53"/>
        <v>4.7224307723701689E-2</v>
      </c>
      <c r="AP102" s="96">
        <f t="shared" si="54"/>
        <v>0.29025000000000001</v>
      </c>
      <c r="AQ102" s="98">
        <f t="shared" si="67"/>
        <v>8.0999999999999996E-3</v>
      </c>
      <c r="AR102" s="97">
        <f t="shared" si="68"/>
        <v>13.267957676256406</v>
      </c>
      <c r="AS102" s="96">
        <f t="shared" si="69"/>
        <v>60.800000000000011</v>
      </c>
      <c r="AT102" s="98">
        <f t="shared" si="70"/>
        <v>82.086778017764033</v>
      </c>
    </row>
    <row r="103" spans="17:46" x14ac:dyDescent="0.3">
      <c r="Q103" s="32">
        <v>96</v>
      </c>
      <c r="R103" s="97">
        <f t="shared" si="43"/>
        <v>12</v>
      </c>
      <c r="S103" s="96">
        <f t="shared" ref="S103:S134" si="71">Q103*$O$12</f>
        <v>5.12</v>
      </c>
      <c r="T103" s="96">
        <f t="shared" si="45"/>
        <v>18</v>
      </c>
      <c r="U103" s="98">
        <f t="shared" ref="U103:U134" si="72">(R103*S103)/(T103*EFF_est)</f>
        <v>3.4133333333333331</v>
      </c>
      <c r="V103" s="97">
        <f t="shared" ref="V103:V134" si="73">IF(S103&lt;((T103^2)*R103)/(2*Fsw*Lm*((T103+R103)^2)),1,2)</f>
        <v>2</v>
      </c>
      <c r="W103" s="96">
        <f t="shared" ref="W103:W134" si="74">CHOOSE(V103,SQRT(2*Lm*R103*S103*Fsw)/T103,R103/(T103+R103))</f>
        <v>0.4</v>
      </c>
      <c r="X103" s="98">
        <f t="shared" ref="X103:X134" si="75">CHOOSE(V103,(Lm*Z103*Fsw)/(R103),1-W103)</f>
        <v>0.6</v>
      </c>
      <c r="Y103" s="97">
        <f t="shared" si="55"/>
        <v>2.1818181818181821</v>
      </c>
      <c r="Z103" s="96">
        <f t="shared" si="56"/>
        <v>10.715151515151515</v>
      </c>
      <c r="AA103" s="96">
        <f t="shared" si="57"/>
        <v>3.4709564473384678</v>
      </c>
      <c r="AB103" s="96">
        <v>0</v>
      </c>
      <c r="AC103" s="96">
        <f t="shared" si="58"/>
        <v>0.12047538659320477</v>
      </c>
      <c r="AD103" s="98">
        <f t="shared" si="59"/>
        <v>0.12047538659320477</v>
      </c>
      <c r="AE103" s="97">
        <f t="shared" si="60"/>
        <v>6.9905066666666675</v>
      </c>
      <c r="AF103" s="96">
        <f t="shared" si="61"/>
        <v>3.4709564473384678</v>
      </c>
      <c r="AG103" s="96">
        <f t="shared" ref="AG103:AG134" si="76">(AF103^2)*RDS_on</f>
        <v>5.3009170101010097E-2</v>
      </c>
      <c r="AH103" s="96">
        <f t="shared" ref="AH103:AH134" si="77">(((R103+T103)*(U103+S103))/2)*Fsw*(tr_sw+tf_sw)</f>
        <v>7.8120791208791216</v>
      </c>
      <c r="AI103" s="98">
        <f t="shared" si="62"/>
        <v>7.8650882909801316</v>
      </c>
      <c r="AJ103" s="97">
        <f t="shared" si="63"/>
        <v>5.12</v>
      </c>
      <c r="AK103" s="96">
        <f t="shared" si="64"/>
        <v>7.4708528210156988</v>
      </c>
      <c r="AL103" s="96">
        <f t="shared" si="65"/>
        <v>0.33280000000000004</v>
      </c>
      <c r="AM103" s="96">
        <f t="shared" ref="AM103:AM134" si="78">(R103+T103+Vd_rect)*Qrr*Fsw</f>
        <v>4.8104000000000005</v>
      </c>
      <c r="AN103" s="98">
        <f t="shared" si="66"/>
        <v>5.1432000000000002</v>
      </c>
      <c r="AO103" s="97">
        <f t="shared" ref="AO103:AO134" si="79">(AF103^2)*R_cs</f>
        <v>4.8190154637281907E-2</v>
      </c>
      <c r="AP103" s="96">
        <f t="shared" si="54"/>
        <v>0.29025000000000001</v>
      </c>
      <c r="AQ103" s="98">
        <f t="shared" si="67"/>
        <v>8.0999999999999996E-3</v>
      </c>
      <c r="AR103" s="97">
        <f t="shared" si="68"/>
        <v>13.354828445617414</v>
      </c>
      <c r="AS103" s="96">
        <f t="shared" si="69"/>
        <v>61.44</v>
      </c>
      <c r="AT103" s="98">
        <f t="shared" si="70"/>
        <v>82.144716789707488</v>
      </c>
    </row>
    <row r="104" spans="17:46" x14ac:dyDescent="0.3">
      <c r="Q104" s="32">
        <v>97</v>
      </c>
      <c r="R104" s="97">
        <f t="shared" si="43"/>
        <v>12</v>
      </c>
      <c r="S104" s="96">
        <f t="shared" si="71"/>
        <v>5.1733333333333338</v>
      </c>
      <c r="T104" s="96">
        <f t="shared" si="45"/>
        <v>18</v>
      </c>
      <c r="U104" s="98">
        <f t="shared" si="72"/>
        <v>3.4488888888888893</v>
      </c>
      <c r="V104" s="97">
        <f t="shared" si="73"/>
        <v>2</v>
      </c>
      <c r="W104" s="96">
        <f t="shared" si="74"/>
        <v>0.4</v>
      </c>
      <c r="X104" s="98">
        <f t="shared" si="75"/>
        <v>0.6</v>
      </c>
      <c r="Y104" s="97">
        <f t="shared" si="55"/>
        <v>2.1818181818181821</v>
      </c>
      <c r="Z104" s="96">
        <f t="shared" si="56"/>
        <v>10.804040404040405</v>
      </c>
      <c r="AA104" s="96">
        <f t="shared" si="57"/>
        <v>3.5059276636544103</v>
      </c>
      <c r="AB104" s="96">
        <v>0</v>
      </c>
      <c r="AC104" s="96">
        <f t="shared" si="58"/>
        <v>0.12291528782777272</v>
      </c>
      <c r="AD104" s="98">
        <f t="shared" si="59"/>
        <v>0.12291528782777272</v>
      </c>
      <c r="AE104" s="97">
        <f t="shared" si="60"/>
        <v>7.1369007407407423</v>
      </c>
      <c r="AF104" s="96">
        <f t="shared" si="61"/>
        <v>3.5059276636544103</v>
      </c>
      <c r="AG104" s="96">
        <f t="shared" si="76"/>
        <v>5.4082726644220001E-2</v>
      </c>
      <c r="AH104" s="96">
        <f t="shared" si="77"/>
        <v>7.8934549450549465</v>
      </c>
      <c r="AI104" s="98">
        <f t="shared" si="62"/>
        <v>7.9475376716991661</v>
      </c>
      <c r="AJ104" s="97">
        <f t="shared" si="63"/>
        <v>5.1733333333333338</v>
      </c>
      <c r="AK104" s="96">
        <f t="shared" si="64"/>
        <v>7.5395602307166989</v>
      </c>
      <c r="AL104" s="96">
        <f t="shared" si="65"/>
        <v>0.33626666666666671</v>
      </c>
      <c r="AM104" s="96">
        <f t="shared" si="78"/>
        <v>4.8104000000000005</v>
      </c>
      <c r="AN104" s="98">
        <f t="shared" si="66"/>
        <v>5.1466666666666674</v>
      </c>
      <c r="AO104" s="97">
        <f t="shared" si="79"/>
        <v>4.9166115131109085E-2</v>
      </c>
      <c r="AP104" s="96">
        <f t="shared" si="54"/>
        <v>0.29025000000000001</v>
      </c>
      <c r="AQ104" s="98">
        <f t="shared" si="67"/>
        <v>8.0999999999999996E-3</v>
      </c>
      <c r="AR104" s="97">
        <f t="shared" si="68"/>
        <v>13.441720453496943</v>
      </c>
      <c r="AS104" s="96">
        <f t="shared" si="69"/>
        <v>62.080000000000005</v>
      </c>
      <c r="AT104" s="98">
        <f t="shared" si="70"/>
        <v>82.201517162504544</v>
      </c>
    </row>
    <row r="105" spans="17:46" x14ac:dyDescent="0.3">
      <c r="Q105" s="32">
        <v>98</v>
      </c>
      <c r="R105" s="97">
        <f t="shared" si="43"/>
        <v>12</v>
      </c>
      <c r="S105" s="96">
        <f t="shared" si="71"/>
        <v>5.2266666666666666</v>
      </c>
      <c r="T105" s="96">
        <f t="shared" si="45"/>
        <v>18</v>
      </c>
      <c r="U105" s="98">
        <f t="shared" si="72"/>
        <v>3.4844444444444442</v>
      </c>
      <c r="V105" s="97">
        <f t="shared" si="73"/>
        <v>2</v>
      </c>
      <c r="W105" s="96">
        <f t="shared" si="74"/>
        <v>0.4</v>
      </c>
      <c r="X105" s="98">
        <f t="shared" si="75"/>
        <v>0.6</v>
      </c>
      <c r="Y105" s="97">
        <f t="shared" si="55"/>
        <v>2.1818181818181821</v>
      </c>
      <c r="Z105" s="96">
        <f t="shared" si="56"/>
        <v>10.892929292929292</v>
      </c>
      <c r="AA105" s="96">
        <f t="shared" si="57"/>
        <v>3.5409105186795933</v>
      </c>
      <c r="AB105" s="96">
        <v>0</v>
      </c>
      <c r="AC105" s="96">
        <f t="shared" si="58"/>
        <v>0.12538047301295788</v>
      </c>
      <c r="AD105" s="98">
        <f t="shared" si="59"/>
        <v>0.12538047301295788</v>
      </c>
      <c r="AE105" s="97">
        <f t="shared" si="60"/>
        <v>7.2848118518518525</v>
      </c>
      <c r="AF105" s="96">
        <f t="shared" si="61"/>
        <v>3.5409105186795933</v>
      </c>
      <c r="AG105" s="96">
        <f t="shared" si="76"/>
        <v>5.5167408125701464E-2</v>
      </c>
      <c r="AH105" s="96">
        <f t="shared" si="77"/>
        <v>7.9748307692307696</v>
      </c>
      <c r="AI105" s="98">
        <f t="shared" si="62"/>
        <v>8.0299981773564717</v>
      </c>
      <c r="AJ105" s="97">
        <f t="shared" si="63"/>
        <v>5.2266666666666666</v>
      </c>
      <c r="AK105" s="96">
        <f t="shared" si="64"/>
        <v>7.6082702734204251</v>
      </c>
      <c r="AL105" s="96">
        <f t="shared" si="65"/>
        <v>0.33973333333333333</v>
      </c>
      <c r="AM105" s="96">
        <f t="shared" si="78"/>
        <v>4.8104000000000005</v>
      </c>
      <c r="AN105" s="98">
        <f t="shared" si="66"/>
        <v>5.1501333333333337</v>
      </c>
      <c r="AO105" s="97">
        <f t="shared" si="79"/>
        <v>5.0152189205183148E-2</v>
      </c>
      <c r="AP105" s="96">
        <f t="shared" si="54"/>
        <v>0.29025000000000001</v>
      </c>
      <c r="AQ105" s="98">
        <f t="shared" si="67"/>
        <v>8.0999999999999996E-3</v>
      </c>
      <c r="AR105" s="97">
        <f t="shared" si="68"/>
        <v>13.528633699894989</v>
      </c>
      <c r="AS105" s="96">
        <f t="shared" si="69"/>
        <v>62.72</v>
      </c>
      <c r="AT105" s="98">
        <f t="shared" si="70"/>
        <v>82.257211646385713</v>
      </c>
    </row>
    <row r="106" spans="17:46" x14ac:dyDescent="0.3">
      <c r="Q106" s="32">
        <v>99</v>
      </c>
      <c r="R106" s="97">
        <f t="shared" si="43"/>
        <v>12</v>
      </c>
      <c r="S106" s="96">
        <f t="shared" si="71"/>
        <v>5.28</v>
      </c>
      <c r="T106" s="96">
        <f t="shared" si="45"/>
        <v>18</v>
      </c>
      <c r="U106" s="98">
        <f t="shared" si="72"/>
        <v>3.52</v>
      </c>
      <c r="V106" s="97">
        <f t="shared" si="73"/>
        <v>2</v>
      </c>
      <c r="W106" s="96">
        <f t="shared" si="74"/>
        <v>0.4</v>
      </c>
      <c r="X106" s="98">
        <f t="shared" si="75"/>
        <v>0.6</v>
      </c>
      <c r="Y106" s="97">
        <f t="shared" si="55"/>
        <v>2.1818181818181821</v>
      </c>
      <c r="Z106" s="96">
        <f t="shared" si="56"/>
        <v>10.981818181818182</v>
      </c>
      <c r="AA106" s="96">
        <f t="shared" si="57"/>
        <v>3.5759046708317088</v>
      </c>
      <c r="AB106" s="96">
        <v>0</v>
      </c>
      <c r="AC106" s="96">
        <f t="shared" si="58"/>
        <v>0.12787094214876032</v>
      </c>
      <c r="AD106" s="98">
        <f t="shared" si="59"/>
        <v>0.12787094214876032</v>
      </c>
      <c r="AE106" s="97">
        <f t="shared" si="60"/>
        <v>7.43424</v>
      </c>
      <c r="AF106" s="96">
        <f t="shared" si="61"/>
        <v>3.5759046708317088</v>
      </c>
      <c r="AG106" s="96">
        <f t="shared" si="76"/>
        <v>5.6263214545454542E-2</v>
      </c>
      <c r="AH106" s="96">
        <f t="shared" si="77"/>
        <v>8.0562065934065945</v>
      </c>
      <c r="AI106" s="98">
        <f t="shared" si="62"/>
        <v>8.1124698079520492</v>
      </c>
      <c r="AJ106" s="97">
        <f t="shared" si="63"/>
        <v>5.28</v>
      </c>
      <c r="AK106" s="96">
        <f t="shared" si="64"/>
        <v>7.6769828784296816</v>
      </c>
      <c r="AL106" s="96">
        <f t="shared" si="65"/>
        <v>0.34320000000000001</v>
      </c>
      <c r="AM106" s="96">
        <f t="shared" si="78"/>
        <v>4.8104000000000005</v>
      </c>
      <c r="AN106" s="98">
        <f t="shared" si="66"/>
        <v>5.1536000000000008</v>
      </c>
      <c r="AO106" s="97">
        <f t="shared" si="79"/>
        <v>5.114837685950413E-2</v>
      </c>
      <c r="AP106" s="96">
        <f t="shared" si="54"/>
        <v>0.29025000000000001</v>
      </c>
      <c r="AQ106" s="98">
        <f t="shared" si="67"/>
        <v>8.0999999999999996E-3</v>
      </c>
      <c r="AR106" s="97">
        <f t="shared" si="68"/>
        <v>13.615568184811556</v>
      </c>
      <c r="AS106" s="96">
        <f t="shared" si="69"/>
        <v>63.36</v>
      </c>
      <c r="AT106" s="98">
        <f t="shared" si="70"/>
        <v>82.311831525398077</v>
      </c>
    </row>
    <row r="107" spans="17:46" x14ac:dyDescent="0.3">
      <c r="Q107" s="32">
        <v>100</v>
      </c>
      <c r="R107" s="97">
        <f t="shared" si="43"/>
        <v>12</v>
      </c>
      <c r="S107" s="96">
        <f t="shared" si="71"/>
        <v>5.3333333333333339</v>
      </c>
      <c r="T107" s="96">
        <f t="shared" si="45"/>
        <v>18</v>
      </c>
      <c r="U107" s="98">
        <f t="shared" si="72"/>
        <v>3.5555555555555554</v>
      </c>
      <c r="V107" s="97">
        <f t="shared" si="73"/>
        <v>2</v>
      </c>
      <c r="W107" s="96">
        <f t="shared" si="74"/>
        <v>0.4</v>
      </c>
      <c r="X107" s="98">
        <f t="shared" si="75"/>
        <v>0.6</v>
      </c>
      <c r="Y107" s="97">
        <f t="shared" si="55"/>
        <v>2.1818181818181821</v>
      </c>
      <c r="Z107" s="96">
        <f t="shared" si="56"/>
        <v>11.070707070707071</v>
      </c>
      <c r="AA107" s="96">
        <f t="shared" si="57"/>
        <v>3.6109097916616539</v>
      </c>
      <c r="AB107" s="96">
        <v>0</v>
      </c>
      <c r="AC107" s="96">
        <f t="shared" si="58"/>
        <v>0.13038669523518009</v>
      </c>
      <c r="AD107" s="98">
        <f t="shared" si="59"/>
        <v>0.13038669523518009</v>
      </c>
      <c r="AE107" s="97">
        <f t="shared" si="60"/>
        <v>7.5851851851851864</v>
      </c>
      <c r="AF107" s="96">
        <f t="shared" si="61"/>
        <v>3.6109097916616539</v>
      </c>
      <c r="AG107" s="96">
        <f t="shared" si="76"/>
        <v>5.7370145903479247E-2</v>
      </c>
      <c r="AH107" s="96">
        <f t="shared" si="77"/>
        <v>8.1375824175824185</v>
      </c>
      <c r="AI107" s="98">
        <f t="shared" si="62"/>
        <v>8.1949525634858986</v>
      </c>
      <c r="AJ107" s="97">
        <f t="shared" si="63"/>
        <v>5.3333333333333339</v>
      </c>
      <c r="AK107" s="96">
        <f t="shared" si="64"/>
        <v>7.7456979775533155</v>
      </c>
      <c r="AL107" s="96">
        <f t="shared" si="65"/>
        <v>0.34666666666666673</v>
      </c>
      <c r="AM107" s="96">
        <f t="shared" si="78"/>
        <v>4.8104000000000005</v>
      </c>
      <c r="AN107" s="98">
        <f t="shared" si="66"/>
        <v>5.1570666666666671</v>
      </c>
      <c r="AO107" s="97">
        <f t="shared" si="79"/>
        <v>5.2154678094072038E-2</v>
      </c>
      <c r="AP107" s="96">
        <f t="shared" si="54"/>
        <v>0.29025000000000001</v>
      </c>
      <c r="AQ107" s="98">
        <f t="shared" si="67"/>
        <v>8.0999999999999996E-3</v>
      </c>
      <c r="AR107" s="97">
        <f t="shared" si="68"/>
        <v>13.702523908246638</v>
      </c>
      <c r="AS107" s="96">
        <f t="shared" si="69"/>
        <v>64</v>
      </c>
      <c r="AT107" s="98">
        <f t="shared" si="70"/>
        <v>82.365406914675049</v>
      </c>
    </row>
    <row r="108" spans="17:46" x14ac:dyDescent="0.3">
      <c r="Q108" s="32">
        <v>101</v>
      </c>
      <c r="R108" s="97">
        <f t="shared" si="43"/>
        <v>12</v>
      </c>
      <c r="S108" s="96">
        <f t="shared" si="71"/>
        <v>5.3866666666666667</v>
      </c>
      <c r="T108" s="96">
        <f t="shared" si="45"/>
        <v>18</v>
      </c>
      <c r="U108" s="98">
        <f t="shared" si="72"/>
        <v>3.5911111111111111</v>
      </c>
      <c r="V108" s="97">
        <f t="shared" si="73"/>
        <v>2</v>
      </c>
      <c r="W108" s="96">
        <f t="shared" si="74"/>
        <v>0.4</v>
      </c>
      <c r="X108" s="98">
        <f t="shared" si="75"/>
        <v>0.6</v>
      </c>
      <c r="Y108" s="97">
        <f t="shared" si="55"/>
        <v>2.1818181818181821</v>
      </c>
      <c r="Z108" s="96">
        <f t="shared" si="56"/>
        <v>11.15959595959596</v>
      </c>
      <c r="AA108" s="96">
        <f t="shared" si="57"/>
        <v>3.6459255652332936</v>
      </c>
      <c r="AB108" s="96">
        <v>0</v>
      </c>
      <c r="AC108" s="96">
        <f t="shared" si="58"/>
        <v>0.13292773227221713</v>
      </c>
      <c r="AD108" s="98">
        <f t="shared" si="59"/>
        <v>0.13292773227221713</v>
      </c>
      <c r="AE108" s="97">
        <f t="shared" si="60"/>
        <v>7.7376474074074082</v>
      </c>
      <c r="AF108" s="96">
        <f t="shared" si="61"/>
        <v>3.6459255652332936</v>
      </c>
      <c r="AG108" s="96">
        <f t="shared" si="76"/>
        <v>5.8488202199775539E-2</v>
      </c>
      <c r="AH108" s="96">
        <f t="shared" si="77"/>
        <v>8.2189582417582425</v>
      </c>
      <c r="AI108" s="98">
        <f t="shared" si="62"/>
        <v>8.2774464439580182</v>
      </c>
      <c r="AJ108" s="97">
        <f t="shared" si="63"/>
        <v>5.3866666666666667</v>
      </c>
      <c r="AK108" s="96">
        <f t="shared" si="64"/>
        <v>7.8144155049962647</v>
      </c>
      <c r="AL108" s="96">
        <f t="shared" si="65"/>
        <v>0.35013333333333335</v>
      </c>
      <c r="AM108" s="96">
        <f t="shared" si="78"/>
        <v>4.8104000000000005</v>
      </c>
      <c r="AN108" s="98">
        <f t="shared" si="66"/>
        <v>5.1605333333333334</v>
      </c>
      <c r="AO108" s="97">
        <f t="shared" si="79"/>
        <v>5.3171092908886851E-2</v>
      </c>
      <c r="AP108" s="96">
        <f t="shared" si="54"/>
        <v>0.29025000000000001</v>
      </c>
      <c r="AQ108" s="98">
        <f t="shared" si="67"/>
        <v>8.0999999999999996E-3</v>
      </c>
      <c r="AR108" s="97">
        <f t="shared" si="68"/>
        <v>13.789500870200239</v>
      </c>
      <c r="AS108" s="96">
        <f t="shared" si="69"/>
        <v>64.64</v>
      </c>
      <c r="AT108" s="98">
        <f t="shared" si="70"/>
        <v>82.417966814525982</v>
      </c>
    </row>
    <row r="109" spans="17:46" x14ac:dyDescent="0.3">
      <c r="Q109" s="32">
        <v>102</v>
      </c>
      <c r="R109" s="97">
        <f t="shared" si="43"/>
        <v>12</v>
      </c>
      <c r="S109" s="96">
        <f t="shared" si="71"/>
        <v>5.44</v>
      </c>
      <c r="T109" s="96">
        <f t="shared" si="45"/>
        <v>18</v>
      </c>
      <c r="U109" s="98">
        <f t="shared" si="72"/>
        <v>3.6266666666666669</v>
      </c>
      <c r="V109" s="97">
        <f t="shared" si="73"/>
        <v>2</v>
      </c>
      <c r="W109" s="96">
        <f t="shared" si="74"/>
        <v>0.4</v>
      </c>
      <c r="X109" s="98">
        <f t="shared" si="75"/>
        <v>0.6</v>
      </c>
      <c r="Y109" s="97">
        <f t="shared" si="55"/>
        <v>2.1818181818181821</v>
      </c>
      <c r="Z109" s="96">
        <f t="shared" si="56"/>
        <v>11.248484848484848</v>
      </c>
      <c r="AA109" s="96">
        <f t="shared" si="57"/>
        <v>3.6809516875377688</v>
      </c>
      <c r="AB109" s="96">
        <v>0</v>
      </c>
      <c r="AC109" s="96">
        <f t="shared" si="58"/>
        <v>0.13549405325987149</v>
      </c>
      <c r="AD109" s="98">
        <f t="shared" si="59"/>
        <v>0.13549405325987149</v>
      </c>
      <c r="AE109" s="97">
        <f t="shared" si="60"/>
        <v>7.8916266666666672</v>
      </c>
      <c r="AF109" s="96">
        <f t="shared" si="61"/>
        <v>3.6809516875377688</v>
      </c>
      <c r="AG109" s="96">
        <f t="shared" si="76"/>
        <v>5.961738343434346E-2</v>
      </c>
      <c r="AH109" s="96">
        <f t="shared" si="77"/>
        <v>8.3003340659340665</v>
      </c>
      <c r="AI109" s="98">
        <f t="shared" si="62"/>
        <v>8.3599514493684097</v>
      </c>
      <c r="AJ109" s="97">
        <f t="shared" si="63"/>
        <v>5.44</v>
      </c>
      <c r="AK109" s="96">
        <f t="shared" si="64"/>
        <v>7.8831353972553355</v>
      </c>
      <c r="AL109" s="96">
        <f t="shared" si="65"/>
        <v>0.35360000000000003</v>
      </c>
      <c r="AM109" s="96">
        <f t="shared" si="78"/>
        <v>4.8104000000000005</v>
      </c>
      <c r="AN109" s="98">
        <f t="shared" si="66"/>
        <v>5.1640000000000006</v>
      </c>
      <c r="AO109" s="97">
        <f t="shared" si="79"/>
        <v>5.4197621303948597E-2</v>
      </c>
      <c r="AP109" s="96">
        <f t="shared" si="54"/>
        <v>0.29025000000000001</v>
      </c>
      <c r="AQ109" s="98">
        <f t="shared" si="67"/>
        <v>8.0999999999999996E-3</v>
      </c>
      <c r="AR109" s="97">
        <f t="shared" si="68"/>
        <v>13.876499070672361</v>
      </c>
      <c r="AS109" s="96">
        <f t="shared" si="69"/>
        <v>65.28</v>
      </c>
      <c r="AT109" s="98">
        <f t="shared" si="70"/>
        <v>82.469539161549861</v>
      </c>
    </row>
    <row r="110" spans="17:46" x14ac:dyDescent="0.3">
      <c r="Q110" s="32">
        <v>103</v>
      </c>
      <c r="R110" s="97">
        <f t="shared" si="43"/>
        <v>12</v>
      </c>
      <c r="S110" s="96">
        <f t="shared" si="71"/>
        <v>5.4933333333333341</v>
      </c>
      <c r="T110" s="96">
        <f t="shared" si="45"/>
        <v>18</v>
      </c>
      <c r="U110" s="98">
        <f t="shared" si="72"/>
        <v>3.6622222222222232</v>
      </c>
      <c r="V110" s="97">
        <f t="shared" si="73"/>
        <v>2</v>
      </c>
      <c r="W110" s="96">
        <f t="shared" si="74"/>
        <v>0.4</v>
      </c>
      <c r="X110" s="98">
        <f t="shared" si="75"/>
        <v>0.6</v>
      </c>
      <c r="Y110" s="97">
        <f t="shared" si="55"/>
        <v>2.1818181818181821</v>
      </c>
      <c r="Z110" s="96">
        <f t="shared" si="56"/>
        <v>11.337373737373738</v>
      </c>
      <c r="AA110" s="96">
        <f t="shared" si="57"/>
        <v>3.715987865940134</v>
      </c>
      <c r="AB110" s="96">
        <v>0</v>
      </c>
      <c r="AC110" s="96">
        <f t="shared" si="58"/>
        <v>0.13808565819814311</v>
      </c>
      <c r="AD110" s="98">
        <f t="shared" si="59"/>
        <v>0.13808565819814311</v>
      </c>
      <c r="AE110" s="97">
        <f t="shared" si="60"/>
        <v>8.0471229629629661</v>
      </c>
      <c r="AF110" s="96">
        <f t="shared" si="61"/>
        <v>3.715987865940134</v>
      </c>
      <c r="AG110" s="96">
        <f t="shared" si="76"/>
        <v>6.0757689607182967E-2</v>
      </c>
      <c r="AH110" s="96">
        <f t="shared" si="77"/>
        <v>8.3817098901098923</v>
      </c>
      <c r="AI110" s="98">
        <f t="shared" si="62"/>
        <v>8.442467579717075</v>
      </c>
      <c r="AJ110" s="97">
        <f t="shared" si="63"/>
        <v>5.4933333333333341</v>
      </c>
      <c r="AK110" s="96">
        <f t="shared" si="64"/>
        <v>7.9518575930203603</v>
      </c>
      <c r="AL110" s="96">
        <f t="shared" si="65"/>
        <v>0.3570666666666667</v>
      </c>
      <c r="AM110" s="96">
        <f t="shared" si="78"/>
        <v>4.8104000000000005</v>
      </c>
      <c r="AN110" s="98">
        <f t="shared" si="66"/>
        <v>5.1674666666666669</v>
      </c>
      <c r="AO110" s="97">
        <f t="shared" si="79"/>
        <v>5.5234263279257241E-2</v>
      </c>
      <c r="AP110" s="96">
        <f t="shared" si="54"/>
        <v>0.29025000000000001</v>
      </c>
      <c r="AQ110" s="98">
        <f t="shared" si="67"/>
        <v>8.0999999999999996E-3</v>
      </c>
      <c r="AR110" s="97">
        <f t="shared" si="68"/>
        <v>13.963518509663</v>
      </c>
      <c r="AS110" s="96">
        <f t="shared" si="69"/>
        <v>65.920000000000016</v>
      </c>
      <c r="AT110" s="98">
        <f t="shared" si="70"/>
        <v>82.52015087696229</v>
      </c>
    </row>
    <row r="111" spans="17:46" x14ac:dyDescent="0.3">
      <c r="Q111" s="32">
        <v>104</v>
      </c>
      <c r="R111" s="97">
        <f t="shared" si="43"/>
        <v>12</v>
      </c>
      <c r="S111" s="96">
        <f t="shared" si="71"/>
        <v>5.5466666666666669</v>
      </c>
      <c r="T111" s="96">
        <f t="shared" si="45"/>
        <v>18</v>
      </c>
      <c r="U111" s="98">
        <f t="shared" si="72"/>
        <v>3.6977777777777781</v>
      </c>
      <c r="V111" s="97">
        <f t="shared" si="73"/>
        <v>2</v>
      </c>
      <c r="W111" s="96">
        <f t="shared" si="74"/>
        <v>0.4</v>
      </c>
      <c r="X111" s="98">
        <f t="shared" si="75"/>
        <v>0.6</v>
      </c>
      <c r="Y111" s="97">
        <f t="shared" si="55"/>
        <v>2.1818181818181821</v>
      </c>
      <c r="Z111" s="96">
        <f t="shared" si="56"/>
        <v>11.426262626262627</v>
      </c>
      <c r="AA111" s="96">
        <f t="shared" si="57"/>
        <v>3.7510338186562908</v>
      </c>
      <c r="AB111" s="96">
        <v>0</v>
      </c>
      <c r="AC111" s="96">
        <f t="shared" si="58"/>
        <v>0.14070254708703198</v>
      </c>
      <c r="AD111" s="98">
        <f t="shared" si="59"/>
        <v>0.14070254708703198</v>
      </c>
      <c r="AE111" s="97">
        <f t="shared" si="60"/>
        <v>8.2041362962962978</v>
      </c>
      <c r="AF111" s="96">
        <f t="shared" si="61"/>
        <v>3.7510338186562908</v>
      </c>
      <c r="AG111" s="96">
        <f t="shared" si="76"/>
        <v>6.1909120718294068E-2</v>
      </c>
      <c r="AH111" s="96">
        <f t="shared" si="77"/>
        <v>8.4630857142857163</v>
      </c>
      <c r="AI111" s="98">
        <f t="shared" si="62"/>
        <v>8.5249948350040103</v>
      </c>
      <c r="AJ111" s="97">
        <f t="shared" si="63"/>
        <v>5.5466666666666669</v>
      </c>
      <c r="AK111" s="96">
        <f t="shared" si="64"/>
        <v>8.0205820330804247</v>
      </c>
      <c r="AL111" s="96">
        <f t="shared" si="65"/>
        <v>0.36053333333333337</v>
      </c>
      <c r="AM111" s="96">
        <f t="shared" si="78"/>
        <v>4.8104000000000005</v>
      </c>
      <c r="AN111" s="98">
        <f t="shared" si="66"/>
        <v>5.170933333333334</v>
      </c>
      <c r="AO111" s="97">
        <f t="shared" si="79"/>
        <v>5.6281018834812784E-2</v>
      </c>
      <c r="AP111" s="96">
        <f t="shared" si="54"/>
        <v>0.29025000000000001</v>
      </c>
      <c r="AQ111" s="98">
        <f t="shared" si="67"/>
        <v>8.0999999999999996E-3</v>
      </c>
      <c r="AR111" s="97">
        <f t="shared" si="68"/>
        <v>14.050559187172158</v>
      </c>
      <c r="AS111" s="96">
        <f t="shared" si="69"/>
        <v>66.56</v>
      </c>
      <c r="AT111" s="98">
        <f t="shared" si="70"/>
        <v>82.569827912311439</v>
      </c>
    </row>
    <row r="112" spans="17:46" x14ac:dyDescent="0.3">
      <c r="Q112" s="32">
        <v>105</v>
      </c>
      <c r="R112" s="97">
        <f t="shared" si="43"/>
        <v>12</v>
      </c>
      <c r="S112" s="96">
        <f t="shared" si="71"/>
        <v>5.6000000000000005</v>
      </c>
      <c r="T112" s="96">
        <f t="shared" si="45"/>
        <v>18</v>
      </c>
      <c r="U112" s="98">
        <f t="shared" si="72"/>
        <v>3.7333333333333334</v>
      </c>
      <c r="V112" s="97">
        <f t="shared" si="73"/>
        <v>2</v>
      </c>
      <c r="W112" s="96">
        <f t="shared" si="74"/>
        <v>0.4</v>
      </c>
      <c r="X112" s="98">
        <f t="shared" si="75"/>
        <v>0.6</v>
      </c>
      <c r="Y112" s="97">
        <f t="shared" si="55"/>
        <v>2.1818181818181821</v>
      </c>
      <c r="Z112" s="96">
        <f t="shared" si="56"/>
        <v>11.515151515151516</v>
      </c>
      <c r="AA112" s="96">
        <f t="shared" si="57"/>
        <v>3.7860892742583094</v>
      </c>
      <c r="AB112" s="96">
        <v>0</v>
      </c>
      <c r="AC112" s="96">
        <f t="shared" si="58"/>
        <v>0.14334471992653813</v>
      </c>
      <c r="AD112" s="98">
        <f t="shared" si="59"/>
        <v>0.14334471992653813</v>
      </c>
      <c r="AE112" s="97">
        <f t="shared" si="60"/>
        <v>8.3626666666666676</v>
      </c>
      <c r="AF112" s="96">
        <f t="shared" si="61"/>
        <v>3.7860892742583094</v>
      </c>
      <c r="AG112" s="96">
        <f t="shared" si="76"/>
        <v>6.3071676767676776E-2</v>
      </c>
      <c r="AH112" s="96">
        <f t="shared" si="77"/>
        <v>8.5444615384615386</v>
      </c>
      <c r="AI112" s="98">
        <f t="shared" si="62"/>
        <v>8.6075332152292159</v>
      </c>
      <c r="AJ112" s="97">
        <f t="shared" si="63"/>
        <v>5.6000000000000005</v>
      </c>
      <c r="AK112" s="96">
        <f t="shared" si="64"/>
        <v>8.0893086602348774</v>
      </c>
      <c r="AL112" s="96">
        <f t="shared" si="65"/>
        <v>0.36400000000000005</v>
      </c>
      <c r="AM112" s="96">
        <f t="shared" si="78"/>
        <v>4.8104000000000005</v>
      </c>
      <c r="AN112" s="98">
        <f t="shared" si="66"/>
        <v>5.1744000000000003</v>
      </c>
      <c r="AO112" s="97">
        <f t="shared" si="79"/>
        <v>5.7337887970615252E-2</v>
      </c>
      <c r="AP112" s="96">
        <f t="shared" si="54"/>
        <v>0.29025000000000001</v>
      </c>
      <c r="AQ112" s="98">
        <f t="shared" si="67"/>
        <v>8.0999999999999996E-3</v>
      </c>
      <c r="AR112" s="97">
        <f t="shared" si="68"/>
        <v>14.137621103199832</v>
      </c>
      <c r="AS112" s="96">
        <f t="shared" si="69"/>
        <v>67.2</v>
      </c>
      <c r="AT112" s="98">
        <f t="shared" si="70"/>
        <v>82.618595292746193</v>
      </c>
    </row>
    <row r="113" spans="17:46" x14ac:dyDescent="0.3">
      <c r="Q113" s="32">
        <v>106</v>
      </c>
      <c r="R113" s="97">
        <f t="shared" si="43"/>
        <v>12</v>
      </c>
      <c r="S113" s="96">
        <f t="shared" si="71"/>
        <v>5.6533333333333333</v>
      </c>
      <c r="T113" s="96">
        <f t="shared" si="45"/>
        <v>18</v>
      </c>
      <c r="U113" s="98">
        <f t="shared" si="72"/>
        <v>3.7688888888888892</v>
      </c>
      <c r="V113" s="97">
        <f t="shared" si="73"/>
        <v>2</v>
      </c>
      <c r="W113" s="96">
        <f t="shared" si="74"/>
        <v>0.4</v>
      </c>
      <c r="X113" s="98">
        <f t="shared" si="75"/>
        <v>0.6</v>
      </c>
      <c r="Y113" s="97">
        <f t="shared" si="55"/>
        <v>2.1818181818181821</v>
      </c>
      <c r="Z113" s="96">
        <f t="shared" si="56"/>
        <v>11.604040404040404</v>
      </c>
      <c r="AA113" s="96">
        <f t="shared" si="57"/>
        <v>3.8211539712063631</v>
      </c>
      <c r="AB113" s="96">
        <v>0</v>
      </c>
      <c r="AC113" s="96">
        <f t="shared" si="58"/>
        <v>0.14601217671666158</v>
      </c>
      <c r="AD113" s="98">
        <f t="shared" si="59"/>
        <v>0.14601217671666158</v>
      </c>
      <c r="AE113" s="97">
        <f t="shared" si="60"/>
        <v>8.5227140740740754</v>
      </c>
      <c r="AF113" s="96">
        <f t="shared" si="61"/>
        <v>3.8211539712063631</v>
      </c>
      <c r="AG113" s="96">
        <f t="shared" si="76"/>
        <v>6.4245357755331106E-2</v>
      </c>
      <c r="AH113" s="96">
        <f t="shared" si="77"/>
        <v>8.6258373626373643</v>
      </c>
      <c r="AI113" s="98">
        <f t="shared" si="62"/>
        <v>8.6900827203926951</v>
      </c>
      <c r="AJ113" s="97">
        <f t="shared" si="63"/>
        <v>5.6533333333333333</v>
      </c>
      <c r="AK113" s="96">
        <f t="shared" si="64"/>
        <v>8.1580374192087941</v>
      </c>
      <c r="AL113" s="96">
        <f t="shared" si="65"/>
        <v>0.36746666666666666</v>
      </c>
      <c r="AM113" s="96">
        <f t="shared" si="78"/>
        <v>4.8104000000000005</v>
      </c>
      <c r="AN113" s="98">
        <f t="shared" si="66"/>
        <v>5.1778666666666675</v>
      </c>
      <c r="AO113" s="97">
        <f t="shared" si="79"/>
        <v>5.8404870686664639E-2</v>
      </c>
      <c r="AP113" s="96">
        <f t="shared" si="54"/>
        <v>0.29025000000000001</v>
      </c>
      <c r="AQ113" s="98">
        <f t="shared" si="67"/>
        <v>8.0999999999999996E-3</v>
      </c>
      <c r="AR113" s="97">
        <f t="shared" si="68"/>
        <v>14.224704257746028</v>
      </c>
      <c r="AS113" s="96">
        <f t="shared" si="69"/>
        <v>67.84</v>
      </c>
      <c r="AT113" s="98">
        <f t="shared" si="70"/>
        <v>82.66647715798797</v>
      </c>
    </row>
    <row r="114" spans="17:46" x14ac:dyDescent="0.3">
      <c r="Q114" s="32">
        <v>107</v>
      </c>
      <c r="R114" s="97">
        <f t="shared" si="43"/>
        <v>12</v>
      </c>
      <c r="S114" s="96">
        <f t="shared" si="71"/>
        <v>5.706666666666667</v>
      </c>
      <c r="T114" s="96">
        <f t="shared" si="45"/>
        <v>18</v>
      </c>
      <c r="U114" s="98">
        <f t="shared" si="72"/>
        <v>3.8044444444444445</v>
      </c>
      <c r="V114" s="97">
        <f t="shared" si="73"/>
        <v>2</v>
      </c>
      <c r="W114" s="96">
        <f t="shared" si="74"/>
        <v>0.4</v>
      </c>
      <c r="X114" s="98">
        <f t="shared" si="75"/>
        <v>0.6</v>
      </c>
      <c r="Y114" s="97">
        <f t="shared" si="55"/>
        <v>2.1818181818181821</v>
      </c>
      <c r="Z114" s="96">
        <f t="shared" si="56"/>
        <v>11.692929292929293</v>
      </c>
      <c r="AA114" s="96">
        <f t="shared" si="57"/>
        <v>3.8562276574056455</v>
      </c>
      <c r="AB114" s="96">
        <v>0</v>
      </c>
      <c r="AC114" s="96">
        <f t="shared" si="58"/>
        <v>0.14870491745740233</v>
      </c>
      <c r="AD114" s="98">
        <f t="shared" si="59"/>
        <v>0.14870491745740233</v>
      </c>
      <c r="AE114" s="97">
        <f t="shared" si="60"/>
        <v>8.6842785185185196</v>
      </c>
      <c r="AF114" s="96">
        <f t="shared" si="61"/>
        <v>3.8562276574056455</v>
      </c>
      <c r="AG114" s="96">
        <f t="shared" si="76"/>
        <v>6.5430163681257036E-2</v>
      </c>
      <c r="AH114" s="96">
        <f t="shared" si="77"/>
        <v>8.7072131868131866</v>
      </c>
      <c r="AI114" s="98">
        <f t="shared" si="62"/>
        <v>8.7726433504944428</v>
      </c>
      <c r="AJ114" s="97">
        <f t="shared" si="63"/>
        <v>5.706666666666667</v>
      </c>
      <c r="AK114" s="96">
        <f t="shared" si="64"/>
        <v>8.2267682565727061</v>
      </c>
      <c r="AL114" s="96">
        <f t="shared" si="65"/>
        <v>0.37093333333333339</v>
      </c>
      <c r="AM114" s="96">
        <f t="shared" si="78"/>
        <v>4.8104000000000005</v>
      </c>
      <c r="AN114" s="98">
        <f t="shared" si="66"/>
        <v>5.1813333333333338</v>
      </c>
      <c r="AO114" s="97">
        <f t="shared" si="79"/>
        <v>5.9481966982960932E-2</v>
      </c>
      <c r="AP114" s="96">
        <f t="shared" si="54"/>
        <v>0.29025000000000001</v>
      </c>
      <c r="AQ114" s="98">
        <f t="shared" si="67"/>
        <v>8.0999999999999996E-3</v>
      </c>
      <c r="AR114" s="97">
        <f t="shared" si="68"/>
        <v>14.311808650810738</v>
      </c>
      <c r="AS114" s="96">
        <f t="shared" si="69"/>
        <v>68.48</v>
      </c>
      <c r="AT114" s="98">
        <f t="shared" si="70"/>
        <v>82.713496801146903</v>
      </c>
    </row>
    <row r="115" spans="17:46" x14ac:dyDescent="0.3">
      <c r="Q115" s="32">
        <v>108</v>
      </c>
      <c r="R115" s="97">
        <f t="shared" si="43"/>
        <v>12</v>
      </c>
      <c r="S115" s="96">
        <f t="shared" si="71"/>
        <v>5.7600000000000007</v>
      </c>
      <c r="T115" s="96">
        <f t="shared" si="45"/>
        <v>18</v>
      </c>
      <c r="U115" s="98">
        <f t="shared" si="72"/>
        <v>3.8400000000000003</v>
      </c>
      <c r="V115" s="97">
        <f t="shared" si="73"/>
        <v>2</v>
      </c>
      <c r="W115" s="96">
        <f t="shared" si="74"/>
        <v>0.4</v>
      </c>
      <c r="X115" s="98">
        <f t="shared" si="75"/>
        <v>0.6</v>
      </c>
      <c r="Y115" s="97">
        <f t="shared" si="55"/>
        <v>2.1818181818181821</v>
      </c>
      <c r="Z115" s="96">
        <f t="shared" si="56"/>
        <v>11.781818181818183</v>
      </c>
      <c r="AA115" s="96">
        <f t="shared" si="57"/>
        <v>3.8913100897867334</v>
      </c>
      <c r="AB115" s="96">
        <v>0</v>
      </c>
      <c r="AC115" s="96">
        <f t="shared" si="58"/>
        <v>0.15142294214876034</v>
      </c>
      <c r="AD115" s="98">
        <f t="shared" si="59"/>
        <v>0.15142294214876034</v>
      </c>
      <c r="AE115" s="97">
        <f t="shared" si="60"/>
        <v>8.8473600000000019</v>
      </c>
      <c r="AF115" s="96">
        <f t="shared" si="61"/>
        <v>3.8913100897867334</v>
      </c>
      <c r="AG115" s="96">
        <f t="shared" si="76"/>
        <v>6.6626094545454553E-2</v>
      </c>
      <c r="AH115" s="96">
        <f t="shared" si="77"/>
        <v>8.7885890109890141</v>
      </c>
      <c r="AI115" s="98">
        <f t="shared" si="62"/>
        <v>8.8552151055344694</v>
      </c>
      <c r="AJ115" s="97">
        <f t="shared" si="63"/>
        <v>5.7600000000000007</v>
      </c>
      <c r="AK115" s="96">
        <f t="shared" si="64"/>
        <v>8.2955011206662626</v>
      </c>
      <c r="AL115" s="96">
        <f t="shared" si="65"/>
        <v>0.37440000000000007</v>
      </c>
      <c r="AM115" s="96">
        <f t="shared" si="78"/>
        <v>4.8104000000000005</v>
      </c>
      <c r="AN115" s="98">
        <f t="shared" si="66"/>
        <v>5.184800000000001</v>
      </c>
      <c r="AO115" s="97">
        <f t="shared" si="79"/>
        <v>6.0569176859504144E-2</v>
      </c>
      <c r="AP115" s="96">
        <f t="shared" si="54"/>
        <v>0.29025000000000001</v>
      </c>
      <c r="AQ115" s="98">
        <f t="shared" si="67"/>
        <v>8.0999999999999996E-3</v>
      </c>
      <c r="AR115" s="97">
        <f t="shared" si="68"/>
        <v>14.398934282393975</v>
      </c>
      <c r="AS115" s="96">
        <f t="shared" si="69"/>
        <v>69.12</v>
      </c>
      <c r="AT115" s="98">
        <f t="shared" si="70"/>
        <v>82.759676705514053</v>
      </c>
    </row>
    <row r="116" spans="17:46" x14ac:dyDescent="0.3">
      <c r="Q116" s="32">
        <v>109</v>
      </c>
      <c r="R116" s="97">
        <f t="shared" si="43"/>
        <v>12</v>
      </c>
      <c r="S116" s="96">
        <f t="shared" si="71"/>
        <v>5.8133333333333335</v>
      </c>
      <c r="T116" s="96">
        <f t="shared" si="45"/>
        <v>18</v>
      </c>
      <c r="U116" s="98">
        <f t="shared" si="72"/>
        <v>3.8755555555555556</v>
      </c>
      <c r="V116" s="97">
        <f t="shared" si="73"/>
        <v>2</v>
      </c>
      <c r="W116" s="96">
        <f t="shared" si="74"/>
        <v>0.4</v>
      </c>
      <c r="X116" s="98">
        <f t="shared" si="75"/>
        <v>0.6</v>
      </c>
      <c r="Y116" s="97">
        <f t="shared" si="55"/>
        <v>2.1818181818181821</v>
      </c>
      <c r="Z116" s="96">
        <f t="shared" si="56"/>
        <v>11.870707070707072</v>
      </c>
      <c r="AA116" s="96">
        <f t="shared" si="57"/>
        <v>3.9264010339079687</v>
      </c>
      <c r="AB116" s="96">
        <v>0</v>
      </c>
      <c r="AC116" s="96">
        <f t="shared" si="58"/>
        <v>0.15416625079073565</v>
      </c>
      <c r="AD116" s="98">
        <f t="shared" si="59"/>
        <v>0.15416625079073565</v>
      </c>
      <c r="AE116" s="97">
        <f t="shared" si="60"/>
        <v>9.0119585185185187</v>
      </c>
      <c r="AF116" s="96">
        <f t="shared" si="61"/>
        <v>3.9264010339079687</v>
      </c>
      <c r="AG116" s="96">
        <f t="shared" si="76"/>
        <v>6.7833150347923685E-2</v>
      </c>
      <c r="AH116" s="96">
        <f t="shared" si="77"/>
        <v>8.8699648351648364</v>
      </c>
      <c r="AI116" s="98">
        <f t="shared" si="62"/>
        <v>8.9377979855127592</v>
      </c>
      <c r="AJ116" s="97">
        <f t="shared" si="63"/>
        <v>5.8133333333333335</v>
      </c>
      <c r="AK116" s="96">
        <f t="shared" si="64"/>
        <v>8.36423596152569</v>
      </c>
      <c r="AL116" s="96">
        <f t="shared" si="65"/>
        <v>0.37786666666666668</v>
      </c>
      <c r="AM116" s="96">
        <f t="shared" si="78"/>
        <v>4.8104000000000005</v>
      </c>
      <c r="AN116" s="98">
        <f t="shared" si="66"/>
        <v>5.1882666666666672</v>
      </c>
      <c r="AO116" s="97">
        <f t="shared" si="79"/>
        <v>6.1666500316294261E-2</v>
      </c>
      <c r="AP116" s="96">
        <f t="shared" si="54"/>
        <v>0.29025000000000001</v>
      </c>
      <c r="AQ116" s="98">
        <f t="shared" si="67"/>
        <v>8.0999999999999996E-3</v>
      </c>
      <c r="AR116" s="97">
        <f t="shared" si="68"/>
        <v>14.486081152495721</v>
      </c>
      <c r="AS116" s="96">
        <f t="shared" si="69"/>
        <v>69.760000000000005</v>
      </c>
      <c r="AT116" s="98">
        <f t="shared" si="70"/>
        <v>82.805038579451377</v>
      </c>
    </row>
    <row r="117" spans="17:46" x14ac:dyDescent="0.3">
      <c r="Q117" s="32">
        <v>110</v>
      </c>
      <c r="R117" s="97">
        <f t="shared" si="43"/>
        <v>12</v>
      </c>
      <c r="S117" s="96">
        <f t="shared" si="71"/>
        <v>5.8666666666666671</v>
      </c>
      <c r="T117" s="96">
        <f t="shared" si="45"/>
        <v>18</v>
      </c>
      <c r="U117" s="98">
        <f t="shared" si="72"/>
        <v>3.9111111111111114</v>
      </c>
      <c r="V117" s="97">
        <f t="shared" si="73"/>
        <v>2</v>
      </c>
      <c r="W117" s="96">
        <f t="shared" si="74"/>
        <v>0.4</v>
      </c>
      <c r="X117" s="98">
        <f t="shared" si="75"/>
        <v>0.6</v>
      </c>
      <c r="Y117" s="97">
        <f t="shared" si="55"/>
        <v>2.1818181818181821</v>
      </c>
      <c r="Z117" s="96">
        <f t="shared" si="56"/>
        <v>11.95959595959596</v>
      </c>
      <c r="AA117" s="96">
        <f t="shared" si="57"/>
        <v>3.9615002635785381</v>
      </c>
      <c r="AB117" s="96">
        <v>0</v>
      </c>
      <c r="AC117" s="96">
        <f t="shared" si="58"/>
        <v>0.15693484338332828</v>
      </c>
      <c r="AD117" s="98">
        <f t="shared" si="59"/>
        <v>0.15693484338332828</v>
      </c>
      <c r="AE117" s="97">
        <f t="shared" si="60"/>
        <v>9.1780740740740754</v>
      </c>
      <c r="AF117" s="96">
        <f t="shared" si="61"/>
        <v>3.9615002635785381</v>
      </c>
      <c r="AG117" s="96">
        <f t="shared" si="76"/>
        <v>6.9051331088664444E-2</v>
      </c>
      <c r="AH117" s="96">
        <f t="shared" si="77"/>
        <v>8.9513406593406621</v>
      </c>
      <c r="AI117" s="98">
        <f t="shared" si="62"/>
        <v>9.0203919904293262</v>
      </c>
      <c r="AJ117" s="97">
        <f t="shared" si="63"/>
        <v>5.8666666666666671</v>
      </c>
      <c r="AK117" s="96">
        <f t="shared" si="64"/>
        <v>8.4329727308147664</v>
      </c>
      <c r="AL117" s="96">
        <f t="shared" si="65"/>
        <v>0.38133333333333336</v>
      </c>
      <c r="AM117" s="96">
        <f t="shared" si="78"/>
        <v>4.8104000000000005</v>
      </c>
      <c r="AN117" s="98">
        <f t="shared" si="66"/>
        <v>5.1917333333333335</v>
      </c>
      <c r="AO117" s="97">
        <f t="shared" si="79"/>
        <v>6.2773937353331311E-2</v>
      </c>
      <c r="AP117" s="96">
        <f t="shared" si="54"/>
        <v>0.29025000000000001</v>
      </c>
      <c r="AQ117" s="98">
        <f t="shared" si="67"/>
        <v>8.0999999999999996E-3</v>
      </c>
      <c r="AR117" s="97">
        <f t="shared" si="68"/>
        <v>14.573249261115992</v>
      </c>
      <c r="AS117" s="96">
        <f t="shared" si="69"/>
        <v>70.400000000000006</v>
      </c>
      <c r="AT117" s="98">
        <f t="shared" si="70"/>
        <v>82.849603389493126</v>
      </c>
    </row>
    <row r="118" spans="17:46" x14ac:dyDescent="0.3">
      <c r="Q118" s="32">
        <v>111</v>
      </c>
      <c r="R118" s="97">
        <f t="shared" si="43"/>
        <v>12</v>
      </c>
      <c r="S118" s="96">
        <f t="shared" si="71"/>
        <v>5.9200000000000008</v>
      </c>
      <c r="T118" s="96">
        <f t="shared" si="45"/>
        <v>18</v>
      </c>
      <c r="U118" s="98">
        <f t="shared" si="72"/>
        <v>3.9466666666666672</v>
      </c>
      <c r="V118" s="97">
        <f t="shared" si="73"/>
        <v>2</v>
      </c>
      <c r="W118" s="96">
        <f t="shared" si="74"/>
        <v>0.4</v>
      </c>
      <c r="X118" s="98">
        <f t="shared" si="75"/>
        <v>0.6</v>
      </c>
      <c r="Y118" s="97">
        <f t="shared" si="55"/>
        <v>2.1818181818181821</v>
      </c>
      <c r="Z118" s="96">
        <f t="shared" si="56"/>
        <v>12.048484848484849</v>
      </c>
      <c r="AA118" s="96">
        <f t="shared" si="57"/>
        <v>3.9966075605010074</v>
      </c>
      <c r="AB118" s="96">
        <v>0</v>
      </c>
      <c r="AC118" s="96">
        <f t="shared" si="58"/>
        <v>0.15972871992653814</v>
      </c>
      <c r="AD118" s="98">
        <f t="shared" si="59"/>
        <v>0.15972871992653814</v>
      </c>
      <c r="AE118" s="97">
        <f t="shared" si="60"/>
        <v>9.3457066666666702</v>
      </c>
      <c r="AF118" s="96">
        <f t="shared" si="61"/>
        <v>3.9966075605010074</v>
      </c>
      <c r="AG118" s="96">
        <f t="shared" si="76"/>
        <v>7.0280636767676777E-2</v>
      </c>
      <c r="AH118" s="96">
        <f t="shared" si="77"/>
        <v>9.0327164835164844</v>
      </c>
      <c r="AI118" s="98">
        <f t="shared" si="62"/>
        <v>9.1029971202841615</v>
      </c>
      <c r="AJ118" s="97">
        <f t="shared" si="63"/>
        <v>5.9200000000000008</v>
      </c>
      <c r="AK118" s="96">
        <f t="shared" si="64"/>
        <v>8.501711381759133</v>
      </c>
      <c r="AL118" s="96">
        <f t="shared" si="65"/>
        <v>0.38480000000000009</v>
      </c>
      <c r="AM118" s="96">
        <f t="shared" si="78"/>
        <v>4.8104000000000005</v>
      </c>
      <c r="AN118" s="98">
        <f t="shared" si="66"/>
        <v>5.1952000000000007</v>
      </c>
      <c r="AO118" s="97">
        <f t="shared" si="79"/>
        <v>6.3891487970615252E-2</v>
      </c>
      <c r="AP118" s="96">
        <f t="shared" si="54"/>
        <v>0.29025000000000001</v>
      </c>
      <c r="AQ118" s="98">
        <f t="shared" si="67"/>
        <v>8.0999999999999996E-3</v>
      </c>
      <c r="AR118" s="97">
        <f t="shared" si="68"/>
        <v>14.660438608254777</v>
      </c>
      <c r="AS118" s="96">
        <f t="shared" si="69"/>
        <v>71.040000000000006</v>
      </c>
      <c r="AT118" s="98">
        <f t="shared" si="70"/>
        <v>82.893391391765107</v>
      </c>
    </row>
    <row r="119" spans="17:46" x14ac:dyDescent="0.3">
      <c r="Q119" s="32">
        <v>112</v>
      </c>
      <c r="R119" s="97">
        <f t="shared" si="43"/>
        <v>12</v>
      </c>
      <c r="S119" s="96">
        <f t="shared" si="71"/>
        <v>5.9733333333333336</v>
      </c>
      <c r="T119" s="96">
        <f t="shared" si="45"/>
        <v>18</v>
      </c>
      <c r="U119" s="98">
        <f t="shared" si="72"/>
        <v>3.9822222222222226</v>
      </c>
      <c r="V119" s="97">
        <f t="shared" si="73"/>
        <v>2</v>
      </c>
      <c r="W119" s="96">
        <f t="shared" si="74"/>
        <v>0.4</v>
      </c>
      <c r="X119" s="98">
        <f t="shared" si="75"/>
        <v>0.6</v>
      </c>
      <c r="Y119" s="97">
        <f t="shared" si="55"/>
        <v>2.1818181818181821</v>
      </c>
      <c r="Z119" s="96">
        <f t="shared" si="56"/>
        <v>12.137373737373737</v>
      </c>
      <c r="AA119" s="96">
        <f t="shared" si="57"/>
        <v>4.0317227139321634</v>
      </c>
      <c r="AB119" s="96">
        <v>0</v>
      </c>
      <c r="AC119" s="96">
        <f t="shared" si="58"/>
        <v>0.1625478804203653</v>
      </c>
      <c r="AD119" s="98">
        <f t="shared" si="59"/>
        <v>0.1625478804203653</v>
      </c>
      <c r="AE119" s="97">
        <f t="shared" si="60"/>
        <v>9.5148562962962977</v>
      </c>
      <c r="AF119" s="96">
        <f t="shared" si="61"/>
        <v>4.0317227139321634</v>
      </c>
      <c r="AG119" s="96">
        <f t="shared" si="76"/>
        <v>7.1521067384960738E-2</v>
      </c>
      <c r="AH119" s="96">
        <f t="shared" si="77"/>
        <v>9.1140923076923102</v>
      </c>
      <c r="AI119" s="98">
        <f t="shared" si="62"/>
        <v>9.1856133750772706</v>
      </c>
      <c r="AJ119" s="97">
        <f t="shared" si="63"/>
        <v>5.9733333333333336</v>
      </c>
      <c r="AK119" s="96">
        <f t="shared" si="64"/>
        <v>8.5704518690837777</v>
      </c>
      <c r="AL119" s="96">
        <f t="shared" si="65"/>
        <v>0.3882666666666667</v>
      </c>
      <c r="AM119" s="96">
        <f t="shared" si="78"/>
        <v>4.8104000000000005</v>
      </c>
      <c r="AN119" s="98">
        <f t="shared" si="66"/>
        <v>5.198666666666667</v>
      </c>
      <c r="AO119" s="97">
        <f t="shared" si="79"/>
        <v>6.5019152168146119E-2</v>
      </c>
      <c r="AP119" s="96">
        <f t="shared" si="54"/>
        <v>0.29025000000000001</v>
      </c>
      <c r="AQ119" s="98">
        <f t="shared" si="67"/>
        <v>8.0999999999999996E-3</v>
      </c>
      <c r="AR119" s="97">
        <f t="shared" si="68"/>
        <v>14.747649193912084</v>
      </c>
      <c r="AS119" s="96">
        <f t="shared" si="69"/>
        <v>71.680000000000007</v>
      </c>
      <c r="AT119" s="98">
        <f t="shared" si="70"/>
        <v>82.936422161820303</v>
      </c>
    </row>
    <row r="120" spans="17:46" x14ac:dyDescent="0.3">
      <c r="Q120" s="32">
        <v>113</v>
      </c>
      <c r="R120" s="97">
        <f t="shared" si="43"/>
        <v>12</v>
      </c>
      <c r="S120" s="96">
        <f t="shared" si="71"/>
        <v>6.0266666666666673</v>
      </c>
      <c r="T120" s="96">
        <f t="shared" si="45"/>
        <v>18</v>
      </c>
      <c r="U120" s="98">
        <f t="shared" si="72"/>
        <v>4.0177777777777779</v>
      </c>
      <c r="V120" s="97">
        <f t="shared" si="73"/>
        <v>2</v>
      </c>
      <c r="W120" s="96">
        <f t="shared" si="74"/>
        <v>0.4</v>
      </c>
      <c r="X120" s="98">
        <f t="shared" si="75"/>
        <v>0.6</v>
      </c>
      <c r="Y120" s="97">
        <f t="shared" si="55"/>
        <v>2.1818181818181821</v>
      </c>
      <c r="Z120" s="96">
        <f t="shared" si="56"/>
        <v>12.226262626262626</v>
      </c>
      <c r="AA120" s="96">
        <f t="shared" si="57"/>
        <v>4.0668455203610785</v>
      </c>
      <c r="AB120" s="96">
        <v>0</v>
      </c>
      <c r="AC120" s="96">
        <f t="shared" si="58"/>
        <v>0.16539232486480973</v>
      </c>
      <c r="AD120" s="98">
        <f t="shared" si="59"/>
        <v>0.16539232486480973</v>
      </c>
      <c r="AE120" s="97">
        <f t="shared" si="60"/>
        <v>9.6855229629629651</v>
      </c>
      <c r="AF120" s="96">
        <f t="shared" si="61"/>
        <v>4.0668455203610785</v>
      </c>
      <c r="AG120" s="96">
        <f t="shared" si="76"/>
        <v>7.2772622940516285E-2</v>
      </c>
      <c r="AH120" s="96">
        <f t="shared" si="77"/>
        <v>9.1954681318681324</v>
      </c>
      <c r="AI120" s="98">
        <f t="shared" si="62"/>
        <v>9.2682407548086481</v>
      </c>
      <c r="AJ120" s="97">
        <f t="shared" si="63"/>
        <v>6.0266666666666673</v>
      </c>
      <c r="AK120" s="96">
        <f t="shared" si="64"/>
        <v>8.6391941489534716</v>
      </c>
      <c r="AL120" s="96">
        <f t="shared" si="65"/>
        <v>0.39173333333333338</v>
      </c>
      <c r="AM120" s="96">
        <f t="shared" si="78"/>
        <v>4.8104000000000005</v>
      </c>
      <c r="AN120" s="98">
        <f t="shared" si="66"/>
        <v>5.2021333333333342</v>
      </c>
      <c r="AO120" s="97">
        <f t="shared" si="79"/>
        <v>6.6156929945923898E-2</v>
      </c>
      <c r="AP120" s="96">
        <f t="shared" si="54"/>
        <v>0.29025000000000001</v>
      </c>
      <c r="AQ120" s="98">
        <f t="shared" si="67"/>
        <v>8.0999999999999996E-3</v>
      </c>
      <c r="AR120" s="97">
        <f t="shared" si="68"/>
        <v>14.834881018087907</v>
      </c>
      <c r="AS120" s="96">
        <f t="shared" si="69"/>
        <v>72.320000000000007</v>
      </c>
      <c r="AT120" s="98">
        <f t="shared" si="70"/>
        <v>82.978714622983517</v>
      </c>
    </row>
    <row r="121" spans="17:46" x14ac:dyDescent="0.3">
      <c r="Q121" s="32">
        <v>114</v>
      </c>
      <c r="R121" s="97">
        <f t="shared" si="43"/>
        <v>12</v>
      </c>
      <c r="S121" s="96">
        <f t="shared" si="71"/>
        <v>6.08</v>
      </c>
      <c r="T121" s="96">
        <f t="shared" si="45"/>
        <v>18</v>
      </c>
      <c r="U121" s="98">
        <f t="shared" si="72"/>
        <v>4.0533333333333337</v>
      </c>
      <c r="V121" s="97">
        <f t="shared" si="73"/>
        <v>2</v>
      </c>
      <c r="W121" s="96">
        <f t="shared" si="74"/>
        <v>0.4</v>
      </c>
      <c r="X121" s="98">
        <f t="shared" si="75"/>
        <v>0.6</v>
      </c>
      <c r="Y121" s="97">
        <f t="shared" si="55"/>
        <v>2.1818181818181821</v>
      </c>
      <c r="Z121" s="96">
        <f t="shared" si="56"/>
        <v>12.315151515151515</v>
      </c>
      <c r="AA121" s="96">
        <f t="shared" si="57"/>
        <v>4.1019757832034003</v>
      </c>
      <c r="AB121" s="96">
        <v>0</v>
      </c>
      <c r="AC121" s="96">
        <f t="shared" si="58"/>
        <v>0.16826205325987151</v>
      </c>
      <c r="AD121" s="98">
        <f t="shared" si="59"/>
        <v>0.16826205325987151</v>
      </c>
      <c r="AE121" s="97">
        <f t="shared" si="60"/>
        <v>9.8577066666666688</v>
      </c>
      <c r="AF121" s="96">
        <f t="shared" si="61"/>
        <v>4.1019757832034003</v>
      </c>
      <c r="AG121" s="96">
        <f t="shared" si="76"/>
        <v>7.4035303434343461E-2</v>
      </c>
      <c r="AH121" s="96">
        <f t="shared" si="77"/>
        <v>9.2768439560439564</v>
      </c>
      <c r="AI121" s="98">
        <f t="shared" si="62"/>
        <v>9.3508792594782992</v>
      </c>
      <c r="AJ121" s="97">
        <f t="shared" si="63"/>
        <v>6.08</v>
      </c>
      <c r="AK121" s="96">
        <f t="shared" si="64"/>
        <v>8.707938178916045</v>
      </c>
      <c r="AL121" s="96">
        <f t="shared" si="65"/>
        <v>0.3952</v>
      </c>
      <c r="AM121" s="96">
        <f t="shared" si="78"/>
        <v>4.8104000000000005</v>
      </c>
      <c r="AN121" s="98">
        <f t="shared" si="66"/>
        <v>5.2056000000000004</v>
      </c>
      <c r="AO121" s="97">
        <f t="shared" si="79"/>
        <v>6.7304821303948603E-2</v>
      </c>
      <c r="AP121" s="96">
        <f t="shared" si="54"/>
        <v>0.29025000000000001</v>
      </c>
      <c r="AQ121" s="98">
        <f t="shared" si="67"/>
        <v>8.0999999999999996E-3</v>
      </c>
      <c r="AR121" s="97">
        <f t="shared" si="68"/>
        <v>14.922134080782248</v>
      </c>
      <c r="AS121" s="96">
        <f t="shared" si="69"/>
        <v>72.960000000000008</v>
      </c>
      <c r="AT121" s="98">
        <f t="shared" si="70"/>
        <v>83.020287073291087</v>
      </c>
    </row>
    <row r="122" spans="17:46" x14ac:dyDescent="0.3">
      <c r="Q122" s="32">
        <v>115</v>
      </c>
      <c r="R122" s="97">
        <f t="shared" si="43"/>
        <v>12</v>
      </c>
      <c r="S122" s="96">
        <f t="shared" si="71"/>
        <v>6.1333333333333337</v>
      </c>
      <c r="T122" s="96">
        <f t="shared" si="45"/>
        <v>18</v>
      </c>
      <c r="U122" s="98">
        <f t="shared" si="72"/>
        <v>4.0888888888888895</v>
      </c>
      <c r="V122" s="97">
        <f t="shared" si="73"/>
        <v>2</v>
      </c>
      <c r="W122" s="96">
        <f t="shared" si="74"/>
        <v>0.4</v>
      </c>
      <c r="X122" s="98">
        <f t="shared" si="75"/>
        <v>0.6</v>
      </c>
      <c r="Y122" s="97">
        <f t="shared" si="55"/>
        <v>2.1818181818181821</v>
      </c>
      <c r="Z122" s="96">
        <f t="shared" si="56"/>
        <v>12.404040404040405</v>
      </c>
      <c r="AA122" s="96">
        <f t="shared" si="57"/>
        <v>4.1371133125109161</v>
      </c>
      <c r="AB122" s="96">
        <v>0</v>
      </c>
      <c r="AC122" s="96">
        <f t="shared" si="58"/>
        <v>0.17115706560555044</v>
      </c>
      <c r="AD122" s="98">
        <f t="shared" si="59"/>
        <v>0.17115706560555044</v>
      </c>
      <c r="AE122" s="97">
        <f t="shared" si="60"/>
        <v>10.031407407407411</v>
      </c>
      <c r="AF122" s="96">
        <f t="shared" si="61"/>
        <v>4.1371133125109161</v>
      </c>
      <c r="AG122" s="96">
        <f t="shared" si="76"/>
        <v>7.5309108866442195E-2</v>
      </c>
      <c r="AH122" s="96">
        <f t="shared" si="77"/>
        <v>9.3582197802197822</v>
      </c>
      <c r="AI122" s="98">
        <f t="shared" si="62"/>
        <v>9.4335288890862241</v>
      </c>
      <c r="AJ122" s="97">
        <f t="shared" si="63"/>
        <v>6.1333333333333337</v>
      </c>
      <c r="AK122" s="96">
        <f t="shared" si="64"/>
        <v>8.7766839178482989</v>
      </c>
      <c r="AL122" s="96">
        <f t="shared" si="65"/>
        <v>0.39866666666666672</v>
      </c>
      <c r="AM122" s="96">
        <f t="shared" si="78"/>
        <v>4.8104000000000005</v>
      </c>
      <c r="AN122" s="98">
        <f t="shared" si="66"/>
        <v>5.2090666666666667</v>
      </c>
      <c r="AO122" s="97">
        <f t="shared" si="79"/>
        <v>6.8462826242220179E-2</v>
      </c>
      <c r="AP122" s="96">
        <f t="shared" si="54"/>
        <v>0.29025000000000001</v>
      </c>
      <c r="AQ122" s="98">
        <f t="shared" si="67"/>
        <v>8.0999999999999996E-3</v>
      </c>
      <c r="AR122" s="97">
        <f t="shared" si="68"/>
        <v>15.009408381995112</v>
      </c>
      <c r="AS122" s="96">
        <f t="shared" si="69"/>
        <v>73.600000000000009</v>
      </c>
      <c r="AT122" s="98">
        <f t="shared" si="70"/>
        <v>83.061157211106121</v>
      </c>
    </row>
    <row r="123" spans="17:46" x14ac:dyDescent="0.3">
      <c r="Q123" s="32">
        <v>116</v>
      </c>
      <c r="R123" s="97">
        <f t="shared" si="43"/>
        <v>12</v>
      </c>
      <c r="S123" s="96">
        <f t="shared" si="71"/>
        <v>6.1866666666666674</v>
      </c>
      <c r="T123" s="96">
        <f t="shared" si="45"/>
        <v>18</v>
      </c>
      <c r="U123" s="98">
        <f t="shared" si="72"/>
        <v>4.1244444444444452</v>
      </c>
      <c r="V123" s="97">
        <f t="shared" si="73"/>
        <v>2</v>
      </c>
      <c r="W123" s="96">
        <f t="shared" si="74"/>
        <v>0.4</v>
      </c>
      <c r="X123" s="98">
        <f t="shared" si="75"/>
        <v>0.6</v>
      </c>
      <c r="Y123" s="97">
        <f t="shared" si="55"/>
        <v>2.1818181818181821</v>
      </c>
      <c r="Z123" s="96">
        <f t="shared" si="56"/>
        <v>12.492929292929295</v>
      </c>
      <c r="AA123" s="96">
        <f t="shared" si="57"/>
        <v>4.1722579246955336</v>
      </c>
      <c r="AB123" s="96">
        <v>0</v>
      </c>
      <c r="AC123" s="96">
        <f t="shared" si="58"/>
        <v>0.17407736190184683</v>
      </c>
      <c r="AD123" s="98">
        <f t="shared" si="59"/>
        <v>0.17407736190184683</v>
      </c>
      <c r="AE123" s="97">
        <f t="shared" si="60"/>
        <v>10.206625185185189</v>
      </c>
      <c r="AF123" s="96">
        <f t="shared" si="61"/>
        <v>4.1722579246955336</v>
      </c>
      <c r="AG123" s="96">
        <f t="shared" si="76"/>
        <v>7.65940392368126E-2</v>
      </c>
      <c r="AH123" s="96">
        <f t="shared" si="77"/>
        <v>9.439595604395608</v>
      </c>
      <c r="AI123" s="98">
        <f t="shared" si="62"/>
        <v>9.5161896436324209</v>
      </c>
      <c r="AJ123" s="97">
        <f t="shared" si="63"/>
        <v>6.1866666666666674</v>
      </c>
      <c r="AK123" s="96">
        <f t="shared" si="64"/>
        <v>8.8454313259044479</v>
      </c>
      <c r="AL123" s="96">
        <f t="shared" si="65"/>
        <v>0.4021333333333334</v>
      </c>
      <c r="AM123" s="96">
        <f t="shared" si="78"/>
        <v>4.8104000000000005</v>
      </c>
      <c r="AN123" s="98">
        <f t="shared" si="66"/>
        <v>5.2125333333333339</v>
      </c>
      <c r="AO123" s="97">
        <f t="shared" si="79"/>
        <v>6.9630944760738736E-2</v>
      </c>
      <c r="AP123" s="96">
        <f t="shared" si="54"/>
        <v>0.29025000000000001</v>
      </c>
      <c r="AQ123" s="98">
        <f t="shared" si="67"/>
        <v>8.0999999999999996E-3</v>
      </c>
      <c r="AR123" s="97">
        <f t="shared" si="68"/>
        <v>15.096703921726496</v>
      </c>
      <c r="AS123" s="96">
        <f t="shared" si="69"/>
        <v>74.240000000000009</v>
      </c>
      <c r="AT123" s="98">
        <f t="shared" si="70"/>
        <v>83.101342159485</v>
      </c>
    </row>
    <row r="124" spans="17:46" x14ac:dyDescent="0.3">
      <c r="Q124" s="32">
        <v>117</v>
      </c>
      <c r="R124" s="97">
        <f t="shared" si="43"/>
        <v>12</v>
      </c>
      <c r="S124" s="96">
        <f t="shared" si="71"/>
        <v>6.24</v>
      </c>
      <c r="T124" s="96">
        <f t="shared" si="45"/>
        <v>18</v>
      </c>
      <c r="U124" s="98">
        <f t="shared" si="72"/>
        <v>4.16</v>
      </c>
      <c r="V124" s="97">
        <f t="shared" si="73"/>
        <v>2</v>
      </c>
      <c r="W124" s="96">
        <f t="shared" si="74"/>
        <v>0.4</v>
      </c>
      <c r="X124" s="98">
        <f t="shared" si="75"/>
        <v>0.6</v>
      </c>
      <c r="Y124" s="97">
        <f t="shared" si="55"/>
        <v>2.1818181818181821</v>
      </c>
      <c r="Z124" s="96">
        <f t="shared" si="56"/>
        <v>12.581818181818182</v>
      </c>
      <c r="AA124" s="96">
        <f t="shared" si="57"/>
        <v>4.2074094422668251</v>
      </c>
      <c r="AB124" s="96">
        <v>0</v>
      </c>
      <c r="AC124" s="96">
        <f t="shared" si="58"/>
        <v>0.17702294214876038</v>
      </c>
      <c r="AD124" s="98">
        <f t="shared" si="59"/>
        <v>0.17702294214876038</v>
      </c>
      <c r="AE124" s="97">
        <f t="shared" si="60"/>
        <v>10.383360000000001</v>
      </c>
      <c r="AF124" s="96">
        <f t="shared" si="61"/>
        <v>4.2074094422668251</v>
      </c>
      <c r="AG124" s="96">
        <f t="shared" si="76"/>
        <v>7.7890094545454563E-2</v>
      </c>
      <c r="AH124" s="96">
        <f t="shared" si="77"/>
        <v>9.5209714285714302</v>
      </c>
      <c r="AI124" s="98">
        <f t="shared" si="62"/>
        <v>9.5988615231168843</v>
      </c>
      <c r="AJ124" s="97">
        <f t="shared" si="63"/>
        <v>6.24</v>
      </c>
      <c r="AK124" s="96">
        <f t="shared" si="64"/>
        <v>8.9141803644669402</v>
      </c>
      <c r="AL124" s="96">
        <f t="shared" si="65"/>
        <v>0.40560000000000002</v>
      </c>
      <c r="AM124" s="96">
        <f t="shared" si="78"/>
        <v>4.8104000000000005</v>
      </c>
      <c r="AN124" s="98">
        <f t="shared" si="66"/>
        <v>5.2160000000000002</v>
      </c>
      <c r="AO124" s="97">
        <f t="shared" si="79"/>
        <v>7.080917685950415E-2</v>
      </c>
      <c r="AP124" s="96">
        <f t="shared" si="54"/>
        <v>0.29025000000000001</v>
      </c>
      <c r="AQ124" s="98">
        <f t="shared" si="67"/>
        <v>8.0999999999999996E-3</v>
      </c>
      <c r="AR124" s="97">
        <f t="shared" si="68"/>
        <v>15.18402069997639</v>
      </c>
      <c r="AS124" s="96">
        <f t="shared" si="69"/>
        <v>74.88</v>
      </c>
      <c r="AT124" s="98">
        <f t="shared" si="70"/>
        <v>83.140858489365257</v>
      </c>
    </row>
    <row r="125" spans="17:46" x14ac:dyDescent="0.3">
      <c r="Q125" s="32">
        <v>118</v>
      </c>
      <c r="R125" s="97">
        <f t="shared" si="43"/>
        <v>12</v>
      </c>
      <c r="S125" s="96">
        <f t="shared" si="71"/>
        <v>6.2933333333333339</v>
      </c>
      <c r="T125" s="96">
        <f t="shared" si="45"/>
        <v>18</v>
      </c>
      <c r="U125" s="98">
        <f t="shared" si="72"/>
        <v>4.1955555555555559</v>
      </c>
      <c r="V125" s="97">
        <f t="shared" si="73"/>
        <v>2</v>
      </c>
      <c r="W125" s="96">
        <f t="shared" si="74"/>
        <v>0.4</v>
      </c>
      <c r="X125" s="98">
        <f t="shared" si="75"/>
        <v>0.6</v>
      </c>
      <c r="Y125" s="97">
        <f t="shared" si="55"/>
        <v>2.1818181818181821</v>
      </c>
      <c r="Z125" s="96">
        <f t="shared" si="56"/>
        <v>12.670707070707072</v>
      </c>
      <c r="AA125" s="96">
        <f t="shared" si="57"/>
        <v>4.2425676935824042</v>
      </c>
      <c r="AB125" s="96">
        <v>0</v>
      </c>
      <c r="AC125" s="96">
        <f t="shared" si="58"/>
        <v>0.1799938063462912</v>
      </c>
      <c r="AD125" s="98">
        <f t="shared" si="59"/>
        <v>0.1799938063462912</v>
      </c>
      <c r="AE125" s="97">
        <f t="shared" si="60"/>
        <v>10.561611851851854</v>
      </c>
      <c r="AF125" s="96">
        <f t="shared" si="61"/>
        <v>4.2425676935824042</v>
      </c>
      <c r="AG125" s="96">
        <f t="shared" si="76"/>
        <v>7.9197274792368128E-2</v>
      </c>
      <c r="AH125" s="96">
        <f t="shared" si="77"/>
        <v>9.602347252747256</v>
      </c>
      <c r="AI125" s="98">
        <f t="shared" si="62"/>
        <v>9.6815445275396232</v>
      </c>
      <c r="AJ125" s="97">
        <f t="shared" si="63"/>
        <v>6.2933333333333339</v>
      </c>
      <c r="AK125" s="96">
        <f t="shared" si="64"/>
        <v>8.9829309960995278</v>
      </c>
      <c r="AL125" s="96">
        <f t="shared" si="65"/>
        <v>0.40906666666666669</v>
      </c>
      <c r="AM125" s="96">
        <f t="shared" si="78"/>
        <v>4.8104000000000005</v>
      </c>
      <c r="AN125" s="98">
        <f t="shared" si="66"/>
        <v>5.2194666666666674</v>
      </c>
      <c r="AO125" s="97">
        <f t="shared" si="79"/>
        <v>7.1997522538516476E-2</v>
      </c>
      <c r="AP125" s="96">
        <f t="shared" si="54"/>
        <v>0.29025000000000001</v>
      </c>
      <c r="AQ125" s="98">
        <f t="shared" si="67"/>
        <v>8.0999999999999996E-3</v>
      </c>
      <c r="AR125" s="97">
        <f t="shared" si="68"/>
        <v>15.271358716744809</v>
      </c>
      <c r="AS125" s="96">
        <f t="shared" si="69"/>
        <v>75.52000000000001</v>
      </c>
      <c r="AT125" s="98">
        <f t="shared" si="70"/>
        <v>83.179722241640732</v>
      </c>
    </row>
    <row r="126" spans="17:46" x14ac:dyDescent="0.3">
      <c r="Q126" s="32">
        <v>119</v>
      </c>
      <c r="R126" s="97">
        <f t="shared" si="43"/>
        <v>12</v>
      </c>
      <c r="S126" s="96">
        <f t="shared" si="71"/>
        <v>6.3466666666666667</v>
      </c>
      <c r="T126" s="96">
        <f t="shared" si="45"/>
        <v>18</v>
      </c>
      <c r="U126" s="98">
        <f t="shared" si="72"/>
        <v>4.2311111111111108</v>
      </c>
      <c r="V126" s="97">
        <f t="shared" si="73"/>
        <v>2</v>
      </c>
      <c r="W126" s="96">
        <f t="shared" si="74"/>
        <v>0.4</v>
      </c>
      <c r="X126" s="98">
        <f t="shared" si="75"/>
        <v>0.6</v>
      </c>
      <c r="Y126" s="97">
        <f t="shared" si="55"/>
        <v>2.1818181818181821</v>
      </c>
      <c r="Z126" s="96">
        <f t="shared" si="56"/>
        <v>12.759595959595959</v>
      </c>
      <c r="AA126" s="96">
        <f t="shared" si="57"/>
        <v>4.277732512610382</v>
      </c>
      <c r="AB126" s="96">
        <v>0</v>
      </c>
      <c r="AC126" s="96">
        <f t="shared" si="58"/>
        <v>0.18298995449443933</v>
      </c>
      <c r="AD126" s="98">
        <f t="shared" si="59"/>
        <v>0.18298995449443933</v>
      </c>
      <c r="AE126" s="97">
        <f t="shared" si="60"/>
        <v>10.741380740740741</v>
      </c>
      <c r="AF126" s="96">
        <f t="shared" si="61"/>
        <v>4.277732512610382</v>
      </c>
      <c r="AG126" s="96">
        <f t="shared" si="76"/>
        <v>8.0515579977553306E-2</v>
      </c>
      <c r="AH126" s="96">
        <f t="shared" si="77"/>
        <v>9.6837230769230782</v>
      </c>
      <c r="AI126" s="98">
        <f t="shared" si="62"/>
        <v>9.7642386569006323</v>
      </c>
      <c r="AJ126" s="97">
        <f t="shared" si="63"/>
        <v>6.3466666666666667</v>
      </c>
      <c r="AK126" s="96">
        <f t="shared" si="64"/>
        <v>9.0516831845024726</v>
      </c>
      <c r="AL126" s="96">
        <f t="shared" si="65"/>
        <v>0.41253333333333336</v>
      </c>
      <c r="AM126" s="96">
        <f t="shared" si="78"/>
        <v>4.8104000000000005</v>
      </c>
      <c r="AN126" s="98">
        <f t="shared" si="66"/>
        <v>5.2229333333333336</v>
      </c>
      <c r="AO126" s="97">
        <f t="shared" si="79"/>
        <v>7.3195981797775728E-2</v>
      </c>
      <c r="AP126" s="96">
        <f t="shared" si="54"/>
        <v>0.29025000000000001</v>
      </c>
      <c r="AQ126" s="98">
        <f t="shared" si="67"/>
        <v>8.0999999999999996E-3</v>
      </c>
      <c r="AR126" s="97">
        <f t="shared" si="68"/>
        <v>15.358717972031743</v>
      </c>
      <c r="AS126" s="96">
        <f t="shared" si="69"/>
        <v>76.16</v>
      </c>
      <c r="AT126" s="98">
        <f t="shared" si="70"/>
        <v>83.217948948186333</v>
      </c>
    </row>
    <row r="127" spans="17:46" x14ac:dyDescent="0.3">
      <c r="Q127" s="32">
        <v>120</v>
      </c>
      <c r="R127" s="97">
        <f t="shared" si="43"/>
        <v>12</v>
      </c>
      <c r="S127" s="96">
        <f t="shared" si="71"/>
        <v>6.4</v>
      </c>
      <c r="T127" s="96">
        <f t="shared" si="45"/>
        <v>18</v>
      </c>
      <c r="U127" s="98">
        <f t="shared" si="72"/>
        <v>4.2666666666666675</v>
      </c>
      <c r="V127" s="97">
        <f t="shared" si="73"/>
        <v>2</v>
      </c>
      <c r="W127" s="96">
        <f t="shared" si="74"/>
        <v>0.4</v>
      </c>
      <c r="X127" s="98">
        <f t="shared" si="75"/>
        <v>0.6</v>
      </c>
      <c r="Y127" s="97">
        <f t="shared" si="55"/>
        <v>2.1818181818181821</v>
      </c>
      <c r="Z127" s="96">
        <f t="shared" si="56"/>
        <v>12.84848484848485</v>
      </c>
      <c r="AA127" s="96">
        <f t="shared" si="57"/>
        <v>4.3129037387032509</v>
      </c>
      <c r="AB127" s="96">
        <v>0</v>
      </c>
      <c r="AC127" s="96">
        <f t="shared" si="58"/>
        <v>0.18601138659320479</v>
      </c>
      <c r="AD127" s="98">
        <f t="shared" si="59"/>
        <v>0.18601138659320479</v>
      </c>
      <c r="AE127" s="97">
        <f t="shared" si="60"/>
        <v>10.92266666666667</v>
      </c>
      <c r="AF127" s="96">
        <f t="shared" si="61"/>
        <v>4.3129037387032509</v>
      </c>
      <c r="AG127" s="96">
        <f t="shared" si="76"/>
        <v>8.1845010101010113E-2</v>
      </c>
      <c r="AH127" s="96">
        <f t="shared" si="77"/>
        <v>9.765098901098904</v>
      </c>
      <c r="AI127" s="98">
        <f t="shared" si="62"/>
        <v>9.8469439111999133</v>
      </c>
      <c r="AJ127" s="97">
        <f t="shared" si="63"/>
        <v>6.4</v>
      </c>
      <c r="AK127" s="96">
        <f t="shared" si="64"/>
        <v>9.120436894469778</v>
      </c>
      <c r="AL127" s="96">
        <f t="shared" si="65"/>
        <v>0.41600000000000004</v>
      </c>
      <c r="AM127" s="96">
        <f t="shared" si="78"/>
        <v>4.8104000000000005</v>
      </c>
      <c r="AN127" s="98">
        <f t="shared" si="66"/>
        <v>5.2264000000000008</v>
      </c>
      <c r="AO127" s="97">
        <f t="shared" si="79"/>
        <v>7.4404554637281919E-2</v>
      </c>
      <c r="AP127" s="96">
        <f t="shared" si="54"/>
        <v>0.29025000000000001</v>
      </c>
      <c r="AQ127" s="98">
        <f t="shared" si="67"/>
        <v>8.0999999999999996E-3</v>
      </c>
      <c r="AR127" s="97">
        <f t="shared" si="68"/>
        <v>15.446098465837197</v>
      </c>
      <c r="AS127" s="96">
        <f t="shared" si="69"/>
        <v>76.800000000000011</v>
      </c>
      <c r="AT127" s="98">
        <f t="shared" si="70"/>
        <v>83.255553651889599</v>
      </c>
    </row>
    <row r="128" spans="17:46" x14ac:dyDescent="0.3">
      <c r="Q128" s="32">
        <v>121</v>
      </c>
      <c r="R128" s="97">
        <f t="shared" si="43"/>
        <v>12</v>
      </c>
      <c r="S128" s="96">
        <f t="shared" si="71"/>
        <v>6.453333333333334</v>
      </c>
      <c r="T128" s="96">
        <f t="shared" si="45"/>
        <v>18</v>
      </c>
      <c r="U128" s="98">
        <f t="shared" si="72"/>
        <v>4.3022222222222233</v>
      </c>
      <c r="V128" s="97">
        <f t="shared" si="73"/>
        <v>2</v>
      </c>
      <c r="W128" s="96">
        <f t="shared" si="74"/>
        <v>0.4</v>
      </c>
      <c r="X128" s="98">
        <f t="shared" si="75"/>
        <v>0.6</v>
      </c>
      <c r="Y128" s="97">
        <f t="shared" si="55"/>
        <v>2.1818181818181821</v>
      </c>
      <c r="Z128" s="96">
        <f t="shared" si="56"/>
        <v>12.937373737373738</v>
      </c>
      <c r="AA128" s="96">
        <f t="shared" si="57"/>
        <v>4.3480812163825506</v>
      </c>
      <c r="AB128" s="96">
        <v>0</v>
      </c>
      <c r="AC128" s="96">
        <f t="shared" si="58"/>
        <v>0.18905810264258763</v>
      </c>
      <c r="AD128" s="98">
        <f t="shared" si="59"/>
        <v>0.18905810264258763</v>
      </c>
      <c r="AE128" s="97">
        <f t="shared" si="60"/>
        <v>11.105469629629635</v>
      </c>
      <c r="AF128" s="96">
        <f t="shared" si="61"/>
        <v>4.3480812163825506</v>
      </c>
      <c r="AG128" s="96">
        <f t="shared" si="76"/>
        <v>8.3185565162738562E-2</v>
      </c>
      <c r="AH128" s="96">
        <f t="shared" si="77"/>
        <v>9.8464747252747262</v>
      </c>
      <c r="AI128" s="98">
        <f t="shared" si="62"/>
        <v>9.9296602904374645</v>
      </c>
      <c r="AJ128" s="97">
        <f t="shared" si="63"/>
        <v>6.453333333333334</v>
      </c>
      <c r="AK128" s="96">
        <f t="shared" si="64"/>
        <v>9.1891920918483194</v>
      </c>
      <c r="AL128" s="96">
        <f t="shared" si="65"/>
        <v>0.41946666666666671</v>
      </c>
      <c r="AM128" s="96">
        <f t="shared" si="78"/>
        <v>4.8104000000000005</v>
      </c>
      <c r="AN128" s="98">
        <f t="shared" si="66"/>
        <v>5.2298666666666671</v>
      </c>
      <c r="AO128" s="97">
        <f t="shared" si="79"/>
        <v>7.5623241057035051E-2</v>
      </c>
      <c r="AP128" s="96">
        <f t="shared" si="54"/>
        <v>0.29025000000000001</v>
      </c>
      <c r="AQ128" s="98">
        <f t="shared" si="67"/>
        <v>8.0999999999999996E-3</v>
      </c>
      <c r="AR128" s="97">
        <f t="shared" si="68"/>
        <v>15.533500198161168</v>
      </c>
      <c r="AS128" s="96">
        <f t="shared" si="69"/>
        <v>77.440000000000012</v>
      </c>
      <c r="AT128" s="98">
        <f t="shared" si="70"/>
        <v>83.29255092574391</v>
      </c>
    </row>
    <row r="129" spans="17:46" x14ac:dyDescent="0.3">
      <c r="Q129" s="32">
        <v>122</v>
      </c>
      <c r="R129" s="97">
        <f t="shared" si="43"/>
        <v>12</v>
      </c>
      <c r="S129" s="96">
        <f t="shared" si="71"/>
        <v>6.5066666666666668</v>
      </c>
      <c r="T129" s="96">
        <f t="shared" si="45"/>
        <v>18</v>
      </c>
      <c r="U129" s="98">
        <f t="shared" si="72"/>
        <v>4.3377777777777773</v>
      </c>
      <c r="V129" s="97">
        <f t="shared" si="73"/>
        <v>2</v>
      </c>
      <c r="W129" s="96">
        <f t="shared" si="74"/>
        <v>0.4</v>
      </c>
      <c r="X129" s="98">
        <f t="shared" si="75"/>
        <v>0.6</v>
      </c>
      <c r="Y129" s="97">
        <f t="shared" si="55"/>
        <v>2.1818181818181821</v>
      </c>
      <c r="Z129" s="96">
        <f t="shared" si="56"/>
        <v>13.026262626262627</v>
      </c>
      <c r="AA129" s="96">
        <f t="shared" si="57"/>
        <v>4.3832647951337309</v>
      </c>
      <c r="AB129" s="96">
        <v>0</v>
      </c>
      <c r="AC129" s="96">
        <f t="shared" si="58"/>
        <v>0.19213010264258748</v>
      </c>
      <c r="AD129" s="98">
        <f t="shared" si="59"/>
        <v>0.19213010264258748</v>
      </c>
      <c r="AE129" s="97">
        <f t="shared" si="60"/>
        <v>11.289789629629629</v>
      </c>
      <c r="AF129" s="96">
        <f t="shared" si="61"/>
        <v>4.3832647951337309</v>
      </c>
      <c r="AG129" s="96">
        <f t="shared" si="76"/>
        <v>8.45372451627385E-2</v>
      </c>
      <c r="AH129" s="96">
        <f t="shared" si="77"/>
        <v>9.927850549450552</v>
      </c>
      <c r="AI129" s="98">
        <f t="shared" si="62"/>
        <v>10.012387794613291</v>
      </c>
      <c r="AJ129" s="97">
        <f t="shared" si="63"/>
        <v>6.5066666666666668</v>
      </c>
      <c r="AK129" s="96">
        <f t="shared" si="64"/>
        <v>9.2579487434988152</v>
      </c>
      <c r="AL129" s="96">
        <f t="shared" si="65"/>
        <v>0.42293333333333338</v>
      </c>
      <c r="AM129" s="96">
        <f t="shared" si="78"/>
        <v>4.8104000000000005</v>
      </c>
      <c r="AN129" s="98">
        <f t="shared" si="66"/>
        <v>5.2333333333333343</v>
      </c>
      <c r="AO129" s="97">
        <f t="shared" si="79"/>
        <v>7.6852041057034998E-2</v>
      </c>
      <c r="AP129" s="96">
        <f t="shared" si="54"/>
        <v>0.29025000000000001</v>
      </c>
      <c r="AQ129" s="98">
        <f t="shared" si="67"/>
        <v>8.0999999999999996E-3</v>
      </c>
      <c r="AR129" s="97">
        <f t="shared" si="68"/>
        <v>15.620923169003662</v>
      </c>
      <c r="AS129" s="96">
        <f t="shared" si="69"/>
        <v>78.08</v>
      </c>
      <c r="AT129" s="98">
        <f t="shared" si="70"/>
        <v>83.328954891053769</v>
      </c>
    </row>
    <row r="130" spans="17:46" x14ac:dyDescent="0.3">
      <c r="Q130" s="32">
        <v>123</v>
      </c>
      <c r="R130" s="97">
        <f t="shared" si="43"/>
        <v>12</v>
      </c>
      <c r="S130" s="96">
        <f t="shared" si="71"/>
        <v>6.5600000000000005</v>
      </c>
      <c r="T130" s="96">
        <f t="shared" si="45"/>
        <v>18</v>
      </c>
      <c r="U130" s="98">
        <f t="shared" si="72"/>
        <v>4.3733333333333331</v>
      </c>
      <c r="V130" s="97">
        <f t="shared" si="73"/>
        <v>2</v>
      </c>
      <c r="W130" s="96">
        <f t="shared" si="74"/>
        <v>0.4</v>
      </c>
      <c r="X130" s="98">
        <f t="shared" si="75"/>
        <v>0.6</v>
      </c>
      <c r="Y130" s="97">
        <f t="shared" si="55"/>
        <v>2.1818181818181821</v>
      </c>
      <c r="Z130" s="96">
        <f t="shared" si="56"/>
        <v>13.115151515151515</v>
      </c>
      <c r="AA130" s="96">
        <f t="shared" si="57"/>
        <v>4.4184543292106655</v>
      </c>
      <c r="AB130" s="96">
        <v>0</v>
      </c>
      <c r="AC130" s="96">
        <f t="shared" si="58"/>
        <v>0.19522738659320471</v>
      </c>
      <c r="AD130" s="98">
        <f t="shared" si="59"/>
        <v>0.19522738659320471</v>
      </c>
      <c r="AE130" s="97">
        <f t="shared" si="60"/>
        <v>11.475626666666667</v>
      </c>
      <c r="AF130" s="96">
        <f t="shared" si="61"/>
        <v>4.4184543292106655</v>
      </c>
      <c r="AG130" s="96">
        <f t="shared" si="76"/>
        <v>8.5900050101010081E-2</v>
      </c>
      <c r="AH130" s="96">
        <f t="shared" si="77"/>
        <v>10.009226373626374</v>
      </c>
      <c r="AI130" s="98">
        <f t="shared" si="62"/>
        <v>10.095126423727384</v>
      </c>
      <c r="AJ130" s="97">
        <f t="shared" si="63"/>
        <v>6.5600000000000005</v>
      </c>
      <c r="AK130" s="96">
        <f t="shared" si="64"/>
        <v>9.326706817258513</v>
      </c>
      <c r="AL130" s="96">
        <f t="shared" si="65"/>
        <v>0.42640000000000006</v>
      </c>
      <c r="AM130" s="96">
        <f t="shared" si="78"/>
        <v>4.8104000000000005</v>
      </c>
      <c r="AN130" s="98">
        <f t="shared" si="66"/>
        <v>5.2368000000000006</v>
      </c>
      <c r="AO130" s="97">
        <f t="shared" si="79"/>
        <v>7.8090954637281884E-2</v>
      </c>
      <c r="AP130" s="96">
        <f t="shared" si="54"/>
        <v>0.29025000000000001</v>
      </c>
      <c r="AQ130" s="98">
        <f t="shared" si="67"/>
        <v>8.0999999999999996E-3</v>
      </c>
      <c r="AR130" s="97">
        <f t="shared" si="68"/>
        <v>15.708367378364668</v>
      </c>
      <c r="AS130" s="96">
        <f t="shared" si="69"/>
        <v>78.72</v>
      </c>
      <c r="AT130" s="98">
        <f t="shared" si="70"/>
        <v>83.364779234800409</v>
      </c>
    </row>
    <row r="131" spans="17:46" x14ac:dyDescent="0.3">
      <c r="Q131" s="32">
        <v>124</v>
      </c>
      <c r="R131" s="97">
        <f t="shared" si="43"/>
        <v>12</v>
      </c>
      <c r="S131" s="96">
        <f t="shared" si="71"/>
        <v>6.6133333333333342</v>
      </c>
      <c r="T131" s="96">
        <f t="shared" si="45"/>
        <v>18</v>
      </c>
      <c r="U131" s="98">
        <f t="shared" si="72"/>
        <v>4.4088888888888897</v>
      </c>
      <c r="V131" s="97">
        <f t="shared" si="73"/>
        <v>2</v>
      </c>
      <c r="W131" s="96">
        <f t="shared" si="74"/>
        <v>0.4</v>
      </c>
      <c r="X131" s="98">
        <f t="shared" si="75"/>
        <v>0.6</v>
      </c>
      <c r="Y131" s="97">
        <f t="shared" si="55"/>
        <v>2.1818181818181821</v>
      </c>
      <c r="Z131" s="96">
        <f t="shared" si="56"/>
        <v>13.204040404040406</v>
      </c>
      <c r="AA131" s="96">
        <f t="shared" si="57"/>
        <v>4.4536496774492651</v>
      </c>
      <c r="AB131" s="96">
        <v>0</v>
      </c>
      <c r="AC131" s="96">
        <f t="shared" si="58"/>
        <v>0.19834995449443946</v>
      </c>
      <c r="AD131" s="98">
        <f t="shared" si="59"/>
        <v>0.19834995449443946</v>
      </c>
      <c r="AE131" s="97">
        <f t="shared" si="60"/>
        <v>11.662980740740744</v>
      </c>
      <c r="AF131" s="96">
        <f t="shared" si="61"/>
        <v>4.4536496774492651</v>
      </c>
      <c r="AG131" s="96">
        <f t="shared" si="76"/>
        <v>8.7273979977553359E-2</v>
      </c>
      <c r="AH131" s="96">
        <f t="shared" si="77"/>
        <v>10.090602197802202</v>
      </c>
      <c r="AI131" s="98">
        <f t="shared" si="62"/>
        <v>10.177876177779755</v>
      </c>
      <c r="AJ131" s="97">
        <f t="shared" si="63"/>
        <v>6.6133333333333342</v>
      </c>
      <c r="AK131" s="96">
        <f t="shared" si="64"/>
        <v>9.3954662819054935</v>
      </c>
      <c r="AL131" s="96">
        <f t="shared" si="65"/>
        <v>0.42986666666666673</v>
      </c>
      <c r="AM131" s="96">
        <f t="shared" si="78"/>
        <v>4.8104000000000005</v>
      </c>
      <c r="AN131" s="98">
        <f t="shared" si="66"/>
        <v>5.2402666666666669</v>
      </c>
      <c r="AO131" s="97">
        <f t="shared" si="79"/>
        <v>7.933998179777578E-2</v>
      </c>
      <c r="AP131" s="96">
        <f t="shared" si="54"/>
        <v>0.29025000000000001</v>
      </c>
      <c r="AQ131" s="98">
        <f t="shared" si="67"/>
        <v>8.0999999999999996E-3</v>
      </c>
      <c r="AR131" s="97">
        <f t="shared" si="68"/>
        <v>15.795832826244199</v>
      </c>
      <c r="AS131" s="96">
        <f t="shared" si="69"/>
        <v>79.360000000000014</v>
      </c>
      <c r="AT131" s="98">
        <f t="shared" si="70"/>
        <v>83.400037226212305</v>
      </c>
    </row>
    <row r="132" spans="17:46" x14ac:dyDescent="0.3">
      <c r="Q132" s="32">
        <v>125</v>
      </c>
      <c r="R132" s="97">
        <f t="shared" si="43"/>
        <v>12</v>
      </c>
      <c r="S132" s="96">
        <f t="shared" si="71"/>
        <v>6.666666666666667</v>
      </c>
      <c r="T132" s="96">
        <f t="shared" si="45"/>
        <v>18</v>
      </c>
      <c r="U132" s="98">
        <f t="shared" si="72"/>
        <v>4.4444444444444446</v>
      </c>
      <c r="V132" s="97">
        <f t="shared" si="73"/>
        <v>2</v>
      </c>
      <c r="W132" s="96">
        <f t="shared" si="74"/>
        <v>0.4</v>
      </c>
      <c r="X132" s="98">
        <f t="shared" si="75"/>
        <v>0.6</v>
      </c>
      <c r="Y132" s="97">
        <f t="shared" si="55"/>
        <v>2.1818181818181821</v>
      </c>
      <c r="Z132" s="96">
        <f t="shared" si="56"/>
        <v>13.292929292929292</v>
      </c>
      <c r="AA132" s="96">
        <f t="shared" si="57"/>
        <v>4.4888507030897253</v>
      </c>
      <c r="AB132" s="96">
        <v>0</v>
      </c>
      <c r="AC132" s="96">
        <f t="shared" si="58"/>
        <v>0.20149780634629122</v>
      </c>
      <c r="AD132" s="98">
        <f t="shared" si="59"/>
        <v>0.20149780634629122</v>
      </c>
      <c r="AE132" s="97">
        <f t="shared" si="60"/>
        <v>11.851851851851855</v>
      </c>
      <c r="AF132" s="96">
        <f t="shared" si="61"/>
        <v>4.4888507030897253</v>
      </c>
      <c r="AG132" s="96">
        <f t="shared" si="76"/>
        <v>8.8659034792368141E-2</v>
      </c>
      <c r="AH132" s="96">
        <f t="shared" si="77"/>
        <v>10.171978021978022</v>
      </c>
      <c r="AI132" s="98">
        <f t="shared" si="62"/>
        <v>10.26063705677039</v>
      </c>
      <c r="AJ132" s="97">
        <f t="shared" si="63"/>
        <v>6.666666666666667</v>
      </c>
      <c r="AK132" s="96">
        <f t="shared" si="64"/>
        <v>9.4642271071245485</v>
      </c>
      <c r="AL132" s="96">
        <f t="shared" si="65"/>
        <v>0.43333333333333335</v>
      </c>
      <c r="AM132" s="96">
        <f t="shared" si="78"/>
        <v>4.8104000000000005</v>
      </c>
      <c r="AN132" s="98">
        <f t="shared" si="66"/>
        <v>5.243733333333334</v>
      </c>
      <c r="AO132" s="97">
        <f t="shared" si="79"/>
        <v>8.0599122538516491E-2</v>
      </c>
      <c r="AP132" s="96">
        <f t="shared" si="54"/>
        <v>0.29025000000000001</v>
      </c>
      <c r="AQ132" s="98">
        <f t="shared" si="67"/>
        <v>8.0999999999999996E-3</v>
      </c>
      <c r="AR132" s="97">
        <f t="shared" si="68"/>
        <v>15.883319512642242</v>
      </c>
      <c r="AS132" s="96">
        <f t="shared" si="69"/>
        <v>80</v>
      </c>
      <c r="AT132" s="98">
        <f t="shared" si="70"/>
        <v>83.434741732582566</v>
      </c>
    </row>
    <row r="133" spans="17:46" x14ac:dyDescent="0.3">
      <c r="Q133" s="32">
        <v>126</v>
      </c>
      <c r="R133" s="97">
        <f t="shared" si="43"/>
        <v>12</v>
      </c>
      <c r="S133" s="96">
        <f t="shared" si="71"/>
        <v>6.7200000000000006</v>
      </c>
      <c r="T133" s="96">
        <f t="shared" si="45"/>
        <v>18</v>
      </c>
      <c r="U133" s="98">
        <f t="shared" si="72"/>
        <v>4.4800000000000004</v>
      </c>
      <c r="V133" s="97">
        <f t="shared" si="73"/>
        <v>2</v>
      </c>
      <c r="W133" s="96">
        <f t="shared" si="74"/>
        <v>0.4</v>
      </c>
      <c r="X133" s="98">
        <f t="shared" si="75"/>
        <v>0.6</v>
      </c>
      <c r="Y133" s="97">
        <f t="shared" si="55"/>
        <v>2.1818181818181821</v>
      </c>
      <c r="Z133" s="96">
        <f t="shared" si="56"/>
        <v>13.381818181818183</v>
      </c>
      <c r="AA133" s="96">
        <f t="shared" si="57"/>
        <v>4.5240572736069593</v>
      </c>
      <c r="AB133" s="96">
        <v>0</v>
      </c>
      <c r="AC133" s="96">
        <f t="shared" si="58"/>
        <v>0.20467094214876036</v>
      </c>
      <c r="AD133" s="98">
        <f t="shared" si="59"/>
        <v>0.20467094214876036</v>
      </c>
      <c r="AE133" s="97">
        <f t="shared" si="60"/>
        <v>12.042240000000003</v>
      </c>
      <c r="AF133" s="96">
        <f t="shared" si="61"/>
        <v>4.5240572736069593</v>
      </c>
      <c r="AG133" s="96">
        <f t="shared" si="76"/>
        <v>9.0055214545454551E-2</v>
      </c>
      <c r="AH133" s="96">
        <f t="shared" si="77"/>
        <v>10.25335384615385</v>
      </c>
      <c r="AI133" s="98">
        <f t="shared" si="62"/>
        <v>10.343409060699305</v>
      </c>
      <c r="AJ133" s="97">
        <f t="shared" si="63"/>
        <v>6.7200000000000006</v>
      </c>
      <c r="AK133" s="96">
        <f t="shared" si="64"/>
        <v>9.5329892634745317</v>
      </c>
      <c r="AL133" s="96">
        <f t="shared" si="65"/>
        <v>0.43680000000000008</v>
      </c>
      <c r="AM133" s="96">
        <f t="shared" si="78"/>
        <v>4.8104000000000005</v>
      </c>
      <c r="AN133" s="98">
        <f t="shared" si="66"/>
        <v>5.2472000000000003</v>
      </c>
      <c r="AO133" s="97">
        <f t="shared" si="79"/>
        <v>8.1868376859504141E-2</v>
      </c>
      <c r="AP133" s="96">
        <f t="shared" si="54"/>
        <v>0.29025000000000001</v>
      </c>
      <c r="AQ133" s="98">
        <f t="shared" si="67"/>
        <v>8.0999999999999996E-3</v>
      </c>
      <c r="AR133" s="97">
        <f t="shared" si="68"/>
        <v>15.97082743755881</v>
      </c>
      <c r="AS133" s="96">
        <f t="shared" si="69"/>
        <v>80.640000000000015</v>
      </c>
      <c r="AT133" s="98">
        <f t="shared" si="70"/>
        <v>83.468905234373423</v>
      </c>
    </row>
    <row r="134" spans="17:46" x14ac:dyDescent="0.3">
      <c r="Q134" s="32">
        <v>127</v>
      </c>
      <c r="R134" s="97">
        <f t="shared" si="43"/>
        <v>12</v>
      </c>
      <c r="S134" s="96">
        <f t="shared" si="71"/>
        <v>6.7733333333333334</v>
      </c>
      <c r="T134" s="96">
        <f t="shared" si="45"/>
        <v>18</v>
      </c>
      <c r="U134" s="98">
        <f t="shared" si="72"/>
        <v>4.5155555555555553</v>
      </c>
      <c r="V134" s="97">
        <f t="shared" si="73"/>
        <v>2</v>
      </c>
      <c r="W134" s="96">
        <f t="shared" si="74"/>
        <v>0.4</v>
      </c>
      <c r="X134" s="98">
        <f t="shared" si="75"/>
        <v>0.6</v>
      </c>
      <c r="Y134" s="97">
        <f t="shared" si="55"/>
        <v>2.1818181818181821</v>
      </c>
      <c r="Z134" s="96">
        <f t="shared" si="56"/>
        <v>13.47070707070707</v>
      </c>
      <c r="AA134" s="96">
        <f t="shared" si="57"/>
        <v>4.5592692605487422</v>
      </c>
      <c r="AB134" s="96">
        <v>0</v>
      </c>
      <c r="AC134" s="96">
        <f t="shared" si="58"/>
        <v>0.20786936190184674</v>
      </c>
      <c r="AD134" s="98">
        <f t="shared" si="59"/>
        <v>0.20786936190184674</v>
      </c>
      <c r="AE134" s="97">
        <f t="shared" si="60"/>
        <v>12.234145185185184</v>
      </c>
      <c r="AF134" s="96">
        <f t="shared" si="61"/>
        <v>4.5592692605487422</v>
      </c>
      <c r="AG134" s="96">
        <f t="shared" si="76"/>
        <v>9.1462519236812562E-2</v>
      </c>
      <c r="AH134" s="96">
        <f t="shared" si="77"/>
        <v>10.33472967032967</v>
      </c>
      <c r="AI134" s="98">
        <f t="shared" si="62"/>
        <v>10.426192189566482</v>
      </c>
      <c r="AJ134" s="97">
        <f t="shared" si="63"/>
        <v>6.7733333333333334</v>
      </c>
      <c r="AK134" s="96">
        <f t="shared" si="64"/>
        <v>9.6017527223570855</v>
      </c>
      <c r="AL134" s="96">
        <f t="shared" si="65"/>
        <v>0.4402666666666667</v>
      </c>
      <c r="AM134" s="96">
        <f t="shared" si="78"/>
        <v>4.8104000000000005</v>
      </c>
      <c r="AN134" s="98">
        <f t="shared" si="66"/>
        <v>5.2506666666666675</v>
      </c>
      <c r="AO134" s="97">
        <f t="shared" si="79"/>
        <v>8.314774476073869E-2</v>
      </c>
      <c r="AP134" s="96">
        <f t="shared" si="54"/>
        <v>0.29025000000000001</v>
      </c>
      <c r="AQ134" s="98">
        <f t="shared" si="67"/>
        <v>8.0999999999999996E-3</v>
      </c>
      <c r="AR134" s="97">
        <f t="shared" si="68"/>
        <v>16.058356600993886</v>
      </c>
      <c r="AS134" s="96">
        <f t="shared" si="69"/>
        <v>81.28</v>
      </c>
      <c r="AT134" s="98">
        <f t="shared" si="70"/>
        <v>83.502539839644342</v>
      </c>
    </row>
    <row r="135" spans="17:46" x14ac:dyDescent="0.3">
      <c r="Q135" s="32">
        <v>128</v>
      </c>
      <c r="R135" s="97">
        <f t="shared" ref="R135:R157" si="80">VOUT</f>
        <v>12</v>
      </c>
      <c r="S135" s="96">
        <f t="shared" ref="S135:S157" si="81">Q135*$O$12</f>
        <v>6.8266666666666671</v>
      </c>
      <c r="T135" s="96">
        <f t="shared" ref="T135:T157" si="82">VIN_var</f>
        <v>18</v>
      </c>
      <c r="U135" s="98">
        <f t="shared" ref="U135:U157" si="83">(R135*S135)/(T135*EFF_est)</f>
        <v>4.5511111111111111</v>
      </c>
      <c r="V135" s="97">
        <f t="shared" ref="V135:V157" si="84">IF(S135&lt;((T135^2)*R135)/(2*Fsw*Lm*((T135+R135)^2)),1,2)</f>
        <v>2</v>
      </c>
      <c r="W135" s="96">
        <f t="shared" ref="W135:W157" si="85">CHOOSE(V135,SQRT(2*Lm*R135*S135*Fsw)/T135,R135/(T135+R135))</f>
        <v>0.4</v>
      </c>
      <c r="X135" s="98">
        <f t="shared" ref="X135:X157" si="86">CHOOSE(V135,(Lm*Z135*Fsw)/(R135),1-W135)</f>
        <v>0.6</v>
      </c>
      <c r="Y135" s="97">
        <f t="shared" si="55"/>
        <v>2.1818181818181821</v>
      </c>
      <c r="Z135" s="96">
        <f t="shared" si="56"/>
        <v>13.55959595959596</v>
      </c>
      <c r="AA135" s="96">
        <f t="shared" si="57"/>
        <v>4.5944865393812009</v>
      </c>
      <c r="AB135" s="96">
        <v>0</v>
      </c>
      <c r="AC135" s="96">
        <f t="shared" si="58"/>
        <v>0.21109306560555044</v>
      </c>
      <c r="AD135" s="98">
        <f t="shared" si="59"/>
        <v>0.21109306560555044</v>
      </c>
      <c r="AE135" s="97">
        <f t="shared" si="60"/>
        <v>12.427567407407409</v>
      </c>
      <c r="AF135" s="96">
        <f t="shared" si="61"/>
        <v>4.5944865393812009</v>
      </c>
      <c r="AG135" s="96">
        <f t="shared" ref="AG135:AG157" si="87">(AF135^2)*RDS_on</f>
        <v>9.2880948866442201E-2</v>
      </c>
      <c r="AH135" s="96">
        <f t="shared" ref="AH135:AH157" si="88">(((R135+T135)*(U135+S135))/2)*Fsw*(tr_sw+tf_sw)</f>
        <v>10.416105494505496</v>
      </c>
      <c r="AI135" s="98">
        <f t="shared" si="62"/>
        <v>10.508986443371938</v>
      </c>
      <c r="AJ135" s="97">
        <f t="shared" si="63"/>
        <v>6.8266666666666671</v>
      </c>
      <c r="AK135" s="96">
        <f t="shared" si="64"/>
        <v>9.6705174559867384</v>
      </c>
      <c r="AL135" s="96">
        <f t="shared" si="65"/>
        <v>0.44373333333333337</v>
      </c>
      <c r="AM135" s="96">
        <f t="shared" ref="AM135:AM157" si="89">(R135+T135+Vd_rect)*Qrr*Fsw</f>
        <v>4.8104000000000005</v>
      </c>
      <c r="AN135" s="98">
        <f t="shared" si="66"/>
        <v>5.2541333333333338</v>
      </c>
      <c r="AO135" s="97">
        <f t="shared" ref="AO135:AO157" si="90">(AF135^2)*R_cs</f>
        <v>8.4437226242220179E-2</v>
      </c>
      <c r="AP135" s="96">
        <f t="shared" ref="AP135:AP157" si="91">Qg_tot*Vcc*Fsw</f>
        <v>0.29025000000000001</v>
      </c>
      <c r="AQ135" s="98">
        <f t="shared" si="67"/>
        <v>8.0999999999999996E-3</v>
      </c>
      <c r="AR135" s="97">
        <f t="shared" si="68"/>
        <v>16.145907002947492</v>
      </c>
      <c r="AS135" s="96">
        <f t="shared" si="69"/>
        <v>81.92</v>
      </c>
      <c r="AT135" s="98">
        <f t="shared" si="70"/>
        <v>83.535657297839293</v>
      </c>
    </row>
    <row r="136" spans="17:46" x14ac:dyDescent="0.3">
      <c r="Q136" s="32">
        <v>129</v>
      </c>
      <c r="R136" s="97">
        <f t="shared" si="80"/>
        <v>12</v>
      </c>
      <c r="S136" s="96">
        <f t="shared" si="81"/>
        <v>6.8800000000000008</v>
      </c>
      <c r="T136" s="96">
        <f t="shared" si="82"/>
        <v>18</v>
      </c>
      <c r="U136" s="98">
        <f t="shared" si="83"/>
        <v>4.5866666666666669</v>
      </c>
      <c r="V136" s="97">
        <f t="shared" si="84"/>
        <v>2</v>
      </c>
      <c r="W136" s="96">
        <f t="shared" si="85"/>
        <v>0.4</v>
      </c>
      <c r="X136" s="98">
        <f t="shared" si="86"/>
        <v>0.6</v>
      </c>
      <c r="Y136" s="97">
        <f t="shared" ref="Y136:Y157" si="92">(T136*W136)/(Lm*Fsw)</f>
        <v>2.1818181818181821</v>
      </c>
      <c r="Z136" s="96">
        <f t="shared" ref="Z136:Z157" si="93">CHOOSE(V136,Y136,U136+S136+(Y136))</f>
        <v>13.64848484848485</v>
      </c>
      <c r="AA136" s="96">
        <f t="shared" ref="AA136:AA157" si="94">CHOOSE(V136,Z136*SQRT((W136+X136)/3),SQRT((U136^2)+((Y136^2)/12)))</f>
        <v>4.6297089893412462</v>
      </c>
      <c r="AB136" s="96">
        <v>0</v>
      </c>
      <c r="AC136" s="96">
        <f t="shared" ref="AC136:AC157" si="95">(AA136^2)*Rdcr</f>
        <v>0.21434205325987143</v>
      </c>
      <c r="AD136" s="98">
        <f t="shared" ref="AD136:AD157" si="96">AB136+AC136</f>
        <v>0.21434205325987143</v>
      </c>
      <c r="AE136" s="97">
        <f t="shared" ref="AE136:AE157" si="97">U136*S136*W136</f>
        <v>12.62250666666667</v>
      </c>
      <c r="AF136" s="96">
        <f t="shared" ref="AF136:AF157" si="98">AA136</f>
        <v>4.6297089893412462</v>
      </c>
      <c r="AG136" s="96">
        <f t="shared" si="87"/>
        <v>9.431050343434344E-2</v>
      </c>
      <c r="AH136" s="96">
        <f t="shared" si="88"/>
        <v>10.497481318681322</v>
      </c>
      <c r="AI136" s="98">
        <f t="shared" ref="AI136:AI157" si="99">AG136+AH136</f>
        <v>10.591791822115665</v>
      </c>
      <c r="AJ136" s="97">
        <f t="shared" ref="AJ136:AJ157" si="100">S136</f>
        <v>6.8800000000000008</v>
      </c>
      <c r="AK136" s="96">
        <f t="shared" ref="AK136:AK157" si="101">CHOOSE(V136,Z136*SQRT(X136/3),SQRT(X136*((Z136^2)+((Y136^2)/3)-(Y136*Z136))))</f>
        <v>9.7392834373622303</v>
      </c>
      <c r="AL136" s="96">
        <f t="shared" ref="AL136:AL157" si="102">S136*Vd_rect</f>
        <v>0.44720000000000004</v>
      </c>
      <c r="AM136" s="96">
        <f t="shared" si="89"/>
        <v>4.8104000000000005</v>
      </c>
      <c r="AN136" s="98">
        <f t="shared" ref="AN136:AN157" si="103">AL136+AM136</f>
        <v>5.2576000000000001</v>
      </c>
      <c r="AO136" s="97">
        <f t="shared" si="90"/>
        <v>8.5736821303948579E-2</v>
      </c>
      <c r="AP136" s="96">
        <f t="shared" si="91"/>
        <v>0.29025000000000001</v>
      </c>
      <c r="AQ136" s="98">
        <f t="shared" ref="AQ136:AQ157" si="104">IQ*T136</f>
        <v>8.0999999999999996E-3</v>
      </c>
      <c r="AR136" s="97">
        <f t="shared" ref="AR136:AR157" si="105">AO136+AN136+AI136+AP136+AQ136</f>
        <v>16.233478643419613</v>
      </c>
      <c r="AS136" s="96">
        <f t="shared" ref="AS136:AS157" si="106">R136*S136</f>
        <v>82.56</v>
      </c>
      <c r="AT136" s="98">
        <f t="shared" ref="AT136:AT157" si="107">(AS136/(AS136+AR136))*100</f>
        <v>83.568269012965985</v>
      </c>
    </row>
    <row r="137" spans="17:46" x14ac:dyDescent="0.3">
      <c r="Q137" s="32">
        <v>130</v>
      </c>
      <c r="R137" s="97">
        <f t="shared" si="80"/>
        <v>12</v>
      </c>
      <c r="S137" s="96">
        <f t="shared" si="81"/>
        <v>6.9333333333333336</v>
      </c>
      <c r="T137" s="96">
        <f t="shared" si="82"/>
        <v>18</v>
      </c>
      <c r="U137" s="98">
        <f t="shared" si="83"/>
        <v>4.6222222222222227</v>
      </c>
      <c r="V137" s="97">
        <f t="shared" si="84"/>
        <v>2</v>
      </c>
      <c r="W137" s="96">
        <f t="shared" si="85"/>
        <v>0.4</v>
      </c>
      <c r="X137" s="98">
        <f t="shared" si="86"/>
        <v>0.6</v>
      </c>
      <c r="Y137" s="97">
        <f t="shared" si="92"/>
        <v>2.1818181818181821</v>
      </c>
      <c r="Z137" s="96">
        <f t="shared" si="93"/>
        <v>13.737373737373739</v>
      </c>
      <c r="AA137" s="96">
        <f t="shared" si="94"/>
        <v>4.6649364932955919</v>
      </c>
      <c r="AB137" s="96">
        <v>0</v>
      </c>
      <c r="AC137" s="96">
        <f t="shared" si="95"/>
        <v>0.21761632486480975</v>
      </c>
      <c r="AD137" s="98">
        <f t="shared" si="96"/>
        <v>0.21761632486480975</v>
      </c>
      <c r="AE137" s="97">
        <f t="shared" si="97"/>
        <v>12.818962962962965</v>
      </c>
      <c r="AF137" s="96">
        <f t="shared" si="98"/>
        <v>4.6649364932955919</v>
      </c>
      <c r="AG137" s="96">
        <f t="shared" si="87"/>
        <v>9.5751182940516294E-2</v>
      </c>
      <c r="AH137" s="96">
        <f t="shared" si="88"/>
        <v>10.578857142857146</v>
      </c>
      <c r="AI137" s="98">
        <f t="shared" si="99"/>
        <v>10.674608325797662</v>
      </c>
      <c r="AJ137" s="97">
        <f t="shared" si="100"/>
        <v>6.9333333333333336</v>
      </c>
      <c r="AK137" s="96">
        <f t="shared" si="101"/>
        <v>9.8080506402390562</v>
      </c>
      <c r="AL137" s="96">
        <f t="shared" si="102"/>
        <v>0.45066666666666672</v>
      </c>
      <c r="AM137" s="96">
        <f t="shared" si="89"/>
        <v>4.8104000000000005</v>
      </c>
      <c r="AN137" s="98">
        <f t="shared" si="103"/>
        <v>5.2610666666666672</v>
      </c>
      <c r="AO137" s="97">
        <f t="shared" si="90"/>
        <v>8.7046529945923892E-2</v>
      </c>
      <c r="AP137" s="96">
        <f t="shared" si="91"/>
        <v>0.29025000000000001</v>
      </c>
      <c r="AQ137" s="98">
        <f t="shared" si="104"/>
        <v>8.0999999999999996E-3</v>
      </c>
      <c r="AR137" s="97">
        <f t="shared" si="105"/>
        <v>16.32107152241025</v>
      </c>
      <c r="AS137" s="96">
        <f t="shared" si="106"/>
        <v>83.2</v>
      </c>
      <c r="AT137" s="98">
        <f t="shared" si="107"/>
        <v>83.600386056198104</v>
      </c>
    </row>
    <row r="138" spans="17:46" x14ac:dyDescent="0.3">
      <c r="Q138" s="32">
        <v>131</v>
      </c>
      <c r="R138" s="97">
        <f t="shared" si="80"/>
        <v>12</v>
      </c>
      <c r="S138" s="96">
        <f t="shared" si="81"/>
        <v>6.9866666666666672</v>
      </c>
      <c r="T138" s="96">
        <f t="shared" si="82"/>
        <v>18</v>
      </c>
      <c r="U138" s="98">
        <f t="shared" si="83"/>
        <v>4.6577777777777776</v>
      </c>
      <c r="V138" s="97">
        <f t="shared" si="84"/>
        <v>2</v>
      </c>
      <c r="W138" s="96">
        <f t="shared" si="85"/>
        <v>0.4</v>
      </c>
      <c r="X138" s="98">
        <f t="shared" si="86"/>
        <v>0.6</v>
      </c>
      <c r="Y138" s="97">
        <f t="shared" si="92"/>
        <v>2.1818181818181821</v>
      </c>
      <c r="Z138" s="96">
        <f t="shared" si="93"/>
        <v>13.826262626262627</v>
      </c>
      <c r="AA138" s="96">
        <f t="shared" si="94"/>
        <v>4.7001689376060218</v>
      </c>
      <c r="AB138" s="96">
        <v>0</v>
      </c>
      <c r="AC138" s="96">
        <f t="shared" si="95"/>
        <v>0.2209158804203652</v>
      </c>
      <c r="AD138" s="98">
        <f t="shared" si="96"/>
        <v>0.2209158804203652</v>
      </c>
      <c r="AE138" s="97">
        <f t="shared" si="97"/>
        <v>13.016936296296297</v>
      </c>
      <c r="AF138" s="96">
        <f t="shared" si="98"/>
        <v>4.7001689376060218</v>
      </c>
      <c r="AG138" s="96">
        <f t="shared" si="87"/>
        <v>9.7202987384960693E-2</v>
      </c>
      <c r="AH138" s="96">
        <f t="shared" si="88"/>
        <v>10.66023296703297</v>
      </c>
      <c r="AI138" s="98">
        <f t="shared" si="99"/>
        <v>10.757435954417931</v>
      </c>
      <c r="AJ138" s="97">
        <f t="shared" si="100"/>
        <v>6.9866666666666672</v>
      </c>
      <c r="AK138" s="96">
        <f t="shared" si="101"/>
        <v>9.8768190391031627</v>
      </c>
      <c r="AL138" s="96">
        <f t="shared" si="102"/>
        <v>0.45413333333333339</v>
      </c>
      <c r="AM138" s="96">
        <f t="shared" si="89"/>
        <v>4.8104000000000005</v>
      </c>
      <c r="AN138" s="98">
        <f t="shared" si="103"/>
        <v>5.2645333333333335</v>
      </c>
      <c r="AO138" s="97">
        <f t="shared" si="90"/>
        <v>8.8366352168146076E-2</v>
      </c>
      <c r="AP138" s="96">
        <f t="shared" si="91"/>
        <v>0.29025000000000001</v>
      </c>
      <c r="AQ138" s="98">
        <f t="shared" si="104"/>
        <v>8.0999999999999996E-3</v>
      </c>
      <c r="AR138" s="97">
        <f t="shared" si="105"/>
        <v>16.408685639919408</v>
      </c>
      <c r="AS138" s="96">
        <f t="shared" si="106"/>
        <v>83.84</v>
      </c>
      <c r="AT138" s="98">
        <f t="shared" si="107"/>
        <v>83.632019177929834</v>
      </c>
    </row>
    <row r="139" spans="17:46" x14ac:dyDescent="0.3">
      <c r="Q139" s="32">
        <v>132</v>
      </c>
      <c r="R139" s="97">
        <f t="shared" si="80"/>
        <v>12</v>
      </c>
      <c r="S139" s="96">
        <f t="shared" si="81"/>
        <v>7.04</v>
      </c>
      <c r="T139" s="96">
        <f t="shared" si="82"/>
        <v>18</v>
      </c>
      <c r="U139" s="98">
        <f t="shared" si="83"/>
        <v>4.6933333333333334</v>
      </c>
      <c r="V139" s="97">
        <f t="shared" si="84"/>
        <v>2</v>
      </c>
      <c r="W139" s="96">
        <f t="shared" si="85"/>
        <v>0.4</v>
      </c>
      <c r="X139" s="98">
        <f t="shared" si="86"/>
        <v>0.6</v>
      </c>
      <c r="Y139" s="97">
        <f t="shared" si="92"/>
        <v>2.1818181818181821</v>
      </c>
      <c r="Z139" s="96">
        <f t="shared" si="93"/>
        <v>13.915151515151516</v>
      </c>
      <c r="AA139" s="96">
        <f t="shared" si="94"/>
        <v>4.7354062120005933</v>
      </c>
      <c r="AB139" s="96">
        <v>0</v>
      </c>
      <c r="AC139" s="96">
        <f t="shared" si="95"/>
        <v>0.22424071992653807</v>
      </c>
      <c r="AD139" s="98">
        <f t="shared" si="96"/>
        <v>0.22424071992653807</v>
      </c>
      <c r="AE139" s="97">
        <f t="shared" si="97"/>
        <v>13.216426666666667</v>
      </c>
      <c r="AF139" s="96">
        <f t="shared" si="98"/>
        <v>4.7354062120005933</v>
      </c>
      <c r="AG139" s="96">
        <f t="shared" si="87"/>
        <v>9.8665916767676762E-2</v>
      </c>
      <c r="AH139" s="96">
        <f t="shared" si="88"/>
        <v>10.741608791208792</v>
      </c>
      <c r="AI139" s="98">
        <f t="shared" si="99"/>
        <v>10.840274707976469</v>
      </c>
      <c r="AJ139" s="97">
        <f t="shared" si="100"/>
        <v>7.04</v>
      </c>
      <c r="AK139" s="96">
        <f t="shared" si="101"/>
        <v>9.9455886091457231</v>
      </c>
      <c r="AL139" s="96">
        <f t="shared" si="102"/>
        <v>0.45760000000000001</v>
      </c>
      <c r="AM139" s="96">
        <f t="shared" si="89"/>
        <v>4.8104000000000005</v>
      </c>
      <c r="AN139" s="98">
        <f t="shared" si="103"/>
        <v>5.2680000000000007</v>
      </c>
      <c r="AO139" s="97">
        <f t="shared" si="90"/>
        <v>8.9696287970615227E-2</v>
      </c>
      <c r="AP139" s="96">
        <f t="shared" si="91"/>
        <v>0.29025000000000001</v>
      </c>
      <c r="AQ139" s="98">
        <f t="shared" si="104"/>
        <v>8.0999999999999996E-3</v>
      </c>
      <c r="AR139" s="97">
        <f t="shared" si="105"/>
        <v>16.496320995947084</v>
      </c>
      <c r="AS139" s="96">
        <f t="shared" si="106"/>
        <v>84.48</v>
      </c>
      <c r="AT139" s="98">
        <f t="shared" si="107"/>
        <v>83.663178819310318</v>
      </c>
    </row>
    <row r="140" spans="17:46" x14ac:dyDescent="0.3">
      <c r="Q140" s="32">
        <v>133</v>
      </c>
      <c r="R140" s="97">
        <f t="shared" si="80"/>
        <v>12</v>
      </c>
      <c r="S140" s="96">
        <f t="shared" si="81"/>
        <v>7.0933333333333337</v>
      </c>
      <c r="T140" s="96">
        <f t="shared" si="82"/>
        <v>18</v>
      </c>
      <c r="U140" s="98">
        <f t="shared" si="83"/>
        <v>4.7288888888888891</v>
      </c>
      <c r="V140" s="97">
        <f t="shared" si="84"/>
        <v>2</v>
      </c>
      <c r="W140" s="96">
        <f t="shared" si="85"/>
        <v>0.4</v>
      </c>
      <c r="X140" s="98">
        <f t="shared" si="86"/>
        <v>0.6</v>
      </c>
      <c r="Y140" s="97">
        <f t="shared" si="92"/>
        <v>2.1818181818181821</v>
      </c>
      <c r="Z140" s="96">
        <f t="shared" si="93"/>
        <v>14.004040404040405</v>
      </c>
      <c r="AA140" s="96">
        <f t="shared" si="94"/>
        <v>4.7706482094504539</v>
      </c>
      <c r="AB140" s="96">
        <v>0</v>
      </c>
      <c r="AC140" s="96">
        <f t="shared" si="95"/>
        <v>0.22759084338332825</v>
      </c>
      <c r="AD140" s="98">
        <f t="shared" si="96"/>
        <v>0.22759084338332825</v>
      </c>
      <c r="AE140" s="97">
        <f t="shared" si="97"/>
        <v>13.417434074074075</v>
      </c>
      <c r="AF140" s="96">
        <f t="shared" si="98"/>
        <v>4.7706482094504539</v>
      </c>
      <c r="AG140" s="96">
        <f t="shared" si="87"/>
        <v>0.10013997108866443</v>
      </c>
      <c r="AH140" s="96">
        <f t="shared" si="88"/>
        <v>10.822984615384618</v>
      </c>
      <c r="AI140" s="98">
        <f t="shared" si="99"/>
        <v>10.923124586473282</v>
      </c>
      <c r="AJ140" s="97">
        <f t="shared" si="100"/>
        <v>7.0933333333333337</v>
      </c>
      <c r="AK140" s="96">
        <f t="shared" si="101"/>
        <v>10.014359326238953</v>
      </c>
      <c r="AL140" s="96">
        <f t="shared" si="102"/>
        <v>0.46106666666666668</v>
      </c>
      <c r="AM140" s="96">
        <f t="shared" si="89"/>
        <v>4.8104000000000005</v>
      </c>
      <c r="AN140" s="98">
        <f t="shared" si="103"/>
        <v>5.271466666666667</v>
      </c>
      <c r="AO140" s="97">
        <f t="shared" si="90"/>
        <v>9.103633735333129E-2</v>
      </c>
      <c r="AP140" s="96">
        <f t="shared" si="91"/>
        <v>0.29025000000000001</v>
      </c>
      <c r="AQ140" s="98">
        <f t="shared" si="104"/>
        <v>8.0999999999999996E-3</v>
      </c>
      <c r="AR140" s="97">
        <f t="shared" si="105"/>
        <v>16.58397759049328</v>
      </c>
      <c r="AS140" s="96">
        <f t="shared" si="106"/>
        <v>85.12</v>
      </c>
      <c r="AT140" s="98">
        <f t="shared" si="107"/>
        <v>83.693875123283817</v>
      </c>
    </row>
    <row r="141" spans="17:46" x14ac:dyDescent="0.3">
      <c r="Q141" s="32">
        <v>134</v>
      </c>
      <c r="R141" s="97">
        <f t="shared" si="80"/>
        <v>12</v>
      </c>
      <c r="S141" s="96">
        <f t="shared" si="81"/>
        <v>7.1466666666666674</v>
      </c>
      <c r="T141" s="96">
        <f t="shared" si="82"/>
        <v>18</v>
      </c>
      <c r="U141" s="98">
        <f t="shared" si="83"/>
        <v>4.7644444444444449</v>
      </c>
      <c r="V141" s="97">
        <f t="shared" si="84"/>
        <v>2</v>
      </c>
      <c r="W141" s="96">
        <f t="shared" si="85"/>
        <v>0.4</v>
      </c>
      <c r="X141" s="98">
        <f t="shared" si="86"/>
        <v>0.6</v>
      </c>
      <c r="Y141" s="97">
        <f t="shared" si="92"/>
        <v>2.1818181818181821</v>
      </c>
      <c r="Z141" s="96">
        <f t="shared" si="93"/>
        <v>14.092929292929293</v>
      </c>
      <c r="AA141" s="96">
        <f t="shared" si="94"/>
        <v>4.8058948260520191</v>
      </c>
      <c r="AB141" s="96">
        <v>0</v>
      </c>
      <c r="AC141" s="96">
        <f t="shared" si="95"/>
        <v>0.23096625079073568</v>
      </c>
      <c r="AD141" s="98">
        <f t="shared" si="96"/>
        <v>0.23096625079073568</v>
      </c>
      <c r="AE141" s="97">
        <f t="shared" si="97"/>
        <v>13.619958518518523</v>
      </c>
      <c r="AF141" s="96">
        <f t="shared" si="98"/>
        <v>4.8058948260520191</v>
      </c>
      <c r="AG141" s="96">
        <f t="shared" si="87"/>
        <v>0.1016251503479237</v>
      </c>
      <c r="AH141" s="96">
        <f t="shared" si="88"/>
        <v>10.904360439560442</v>
      </c>
      <c r="AI141" s="98">
        <f t="shared" si="99"/>
        <v>11.005985589908365</v>
      </c>
      <c r="AJ141" s="97">
        <f t="shared" si="100"/>
        <v>7.1466666666666674</v>
      </c>
      <c r="AK141" s="96">
        <f t="shared" si="101"/>
        <v>10.08313116691291</v>
      </c>
      <c r="AL141" s="96">
        <f t="shared" si="102"/>
        <v>0.46453333333333341</v>
      </c>
      <c r="AM141" s="96">
        <f t="shared" si="89"/>
        <v>4.8104000000000005</v>
      </c>
      <c r="AN141" s="98">
        <f t="shared" si="103"/>
        <v>5.2749333333333341</v>
      </c>
      <c r="AO141" s="97">
        <f t="shared" si="90"/>
        <v>9.2386500316294279E-2</v>
      </c>
      <c r="AP141" s="96">
        <f t="shared" si="91"/>
        <v>0.29025000000000001</v>
      </c>
      <c r="AQ141" s="98">
        <f t="shared" si="104"/>
        <v>8.0999999999999996E-3</v>
      </c>
      <c r="AR141" s="97">
        <f t="shared" si="105"/>
        <v>16.671655423557993</v>
      </c>
      <c r="AS141" s="96">
        <f t="shared" si="106"/>
        <v>85.76</v>
      </c>
      <c r="AT141" s="98">
        <f t="shared" si="107"/>
        <v>83.724117945160415</v>
      </c>
    </row>
    <row r="142" spans="17:46" x14ac:dyDescent="0.3">
      <c r="Q142" s="32">
        <v>135</v>
      </c>
      <c r="R142" s="97">
        <f t="shared" si="80"/>
        <v>12</v>
      </c>
      <c r="S142" s="96">
        <f t="shared" si="81"/>
        <v>7.2</v>
      </c>
      <c r="T142" s="96">
        <f t="shared" si="82"/>
        <v>18</v>
      </c>
      <c r="U142" s="98">
        <f t="shared" si="83"/>
        <v>4.8000000000000007</v>
      </c>
      <c r="V142" s="97">
        <f t="shared" si="84"/>
        <v>2</v>
      </c>
      <c r="W142" s="96">
        <f t="shared" si="85"/>
        <v>0.4</v>
      </c>
      <c r="X142" s="98">
        <f t="shared" si="86"/>
        <v>0.6</v>
      </c>
      <c r="Y142" s="97">
        <f t="shared" si="92"/>
        <v>2.1818181818181821</v>
      </c>
      <c r="Z142" s="96">
        <f t="shared" si="93"/>
        <v>14.181818181818182</v>
      </c>
      <c r="AA142" s="96">
        <f t="shared" si="94"/>
        <v>4.8411459609142167</v>
      </c>
      <c r="AB142" s="96">
        <v>0</v>
      </c>
      <c r="AC142" s="96">
        <f t="shared" si="95"/>
        <v>0.23436694214876036</v>
      </c>
      <c r="AD142" s="98">
        <f t="shared" si="96"/>
        <v>0.23436694214876036</v>
      </c>
      <c r="AE142" s="97">
        <f t="shared" si="97"/>
        <v>13.824000000000005</v>
      </c>
      <c r="AF142" s="96">
        <f t="shared" si="98"/>
        <v>4.8411459609142167</v>
      </c>
      <c r="AG142" s="96">
        <f t="shared" si="87"/>
        <v>0.10312145454545456</v>
      </c>
      <c r="AH142" s="96">
        <f t="shared" si="88"/>
        <v>10.985736263736264</v>
      </c>
      <c r="AI142" s="98">
        <f t="shared" si="99"/>
        <v>11.088857718281719</v>
      </c>
      <c r="AJ142" s="97">
        <f t="shared" si="100"/>
        <v>7.2</v>
      </c>
      <c r="AK142" s="96">
        <f t="shared" si="101"/>
        <v>10.151904108333243</v>
      </c>
      <c r="AL142" s="96">
        <f t="shared" si="102"/>
        <v>0.46800000000000003</v>
      </c>
      <c r="AM142" s="96">
        <f t="shared" si="89"/>
        <v>4.8104000000000005</v>
      </c>
      <c r="AN142" s="98">
        <f t="shared" si="103"/>
        <v>5.2784000000000004</v>
      </c>
      <c r="AO142" s="97">
        <f t="shared" si="90"/>
        <v>9.3746776859504138E-2</v>
      </c>
      <c r="AP142" s="96">
        <f t="shared" si="91"/>
        <v>0.29025000000000001</v>
      </c>
      <c r="AQ142" s="98">
        <f t="shared" si="104"/>
        <v>8.0999999999999996E-3</v>
      </c>
      <c r="AR142" s="97">
        <f t="shared" si="105"/>
        <v>16.759354495141224</v>
      </c>
      <c r="AS142" s="96">
        <f t="shared" si="106"/>
        <v>86.4</v>
      </c>
      <c r="AT142" s="98">
        <f t="shared" si="107"/>
        <v>83.753916862740169</v>
      </c>
    </row>
    <row r="143" spans="17:46" x14ac:dyDescent="0.3">
      <c r="Q143" s="32">
        <v>136</v>
      </c>
      <c r="R143" s="97">
        <f t="shared" si="80"/>
        <v>12</v>
      </c>
      <c r="S143" s="96">
        <f t="shared" si="81"/>
        <v>7.2533333333333339</v>
      </c>
      <c r="T143" s="96">
        <f t="shared" si="82"/>
        <v>18</v>
      </c>
      <c r="U143" s="98">
        <f t="shared" si="83"/>
        <v>4.8355555555555556</v>
      </c>
      <c r="V143" s="97">
        <f t="shared" si="84"/>
        <v>2</v>
      </c>
      <c r="W143" s="96">
        <f t="shared" si="85"/>
        <v>0.4</v>
      </c>
      <c r="X143" s="98">
        <f t="shared" si="86"/>
        <v>0.6</v>
      </c>
      <c r="Y143" s="97">
        <f t="shared" si="92"/>
        <v>2.1818181818181821</v>
      </c>
      <c r="Z143" s="96">
        <f t="shared" si="93"/>
        <v>14.27070707070707</v>
      </c>
      <c r="AA143" s="96">
        <f t="shared" si="94"/>
        <v>4.8764015160505636</v>
      </c>
      <c r="AB143" s="96">
        <v>0</v>
      </c>
      <c r="AC143" s="96">
        <f t="shared" si="95"/>
        <v>0.23779291745740236</v>
      </c>
      <c r="AD143" s="98">
        <f t="shared" si="96"/>
        <v>0.23779291745740236</v>
      </c>
      <c r="AE143" s="97">
        <f t="shared" si="97"/>
        <v>14.02955851851852</v>
      </c>
      <c r="AF143" s="96">
        <f t="shared" si="98"/>
        <v>4.8764015160505636</v>
      </c>
      <c r="AG143" s="96">
        <f t="shared" si="87"/>
        <v>0.10462888368125704</v>
      </c>
      <c r="AH143" s="96">
        <f t="shared" si="88"/>
        <v>11.067112087912088</v>
      </c>
      <c r="AI143" s="98">
        <f t="shared" si="99"/>
        <v>11.171740971593346</v>
      </c>
      <c r="AJ143" s="97">
        <f t="shared" si="100"/>
        <v>7.2533333333333339</v>
      </c>
      <c r="AK143" s="96">
        <f t="shared" si="101"/>
        <v>10.220678128279834</v>
      </c>
      <c r="AL143" s="96">
        <f t="shared" si="102"/>
        <v>0.4714666666666667</v>
      </c>
      <c r="AM143" s="96">
        <f t="shared" si="89"/>
        <v>4.8104000000000005</v>
      </c>
      <c r="AN143" s="98">
        <f t="shared" si="103"/>
        <v>5.2818666666666676</v>
      </c>
      <c r="AO143" s="97">
        <f t="shared" si="90"/>
        <v>9.5117166982960938E-2</v>
      </c>
      <c r="AP143" s="96">
        <f t="shared" si="91"/>
        <v>0.29025000000000001</v>
      </c>
      <c r="AQ143" s="98">
        <f t="shared" si="104"/>
        <v>8.0999999999999996E-3</v>
      </c>
      <c r="AR143" s="97">
        <f t="shared" si="105"/>
        <v>16.847074805242976</v>
      </c>
      <c r="AS143" s="96">
        <f t="shared" si="106"/>
        <v>87.04</v>
      </c>
      <c r="AT143" s="98">
        <f t="shared" si="107"/>
        <v>83.78328118601263</v>
      </c>
    </row>
    <row r="144" spans="17:46" x14ac:dyDescent="0.3">
      <c r="Q144" s="32">
        <v>137</v>
      </c>
      <c r="R144" s="97">
        <f t="shared" si="80"/>
        <v>12</v>
      </c>
      <c r="S144" s="96">
        <f t="shared" si="81"/>
        <v>7.3066666666666675</v>
      </c>
      <c r="T144" s="96">
        <f t="shared" si="82"/>
        <v>18</v>
      </c>
      <c r="U144" s="98">
        <f t="shared" si="83"/>
        <v>4.8711111111111114</v>
      </c>
      <c r="V144" s="97">
        <f t="shared" si="84"/>
        <v>2</v>
      </c>
      <c r="W144" s="96">
        <f t="shared" si="85"/>
        <v>0.4</v>
      </c>
      <c r="X144" s="98">
        <f t="shared" si="86"/>
        <v>0.6</v>
      </c>
      <c r="Y144" s="97">
        <f t="shared" si="92"/>
        <v>2.1818181818181821</v>
      </c>
      <c r="Z144" s="96">
        <f t="shared" si="93"/>
        <v>14.359595959595961</v>
      </c>
      <c r="AA144" s="96">
        <f t="shared" si="94"/>
        <v>4.9116613962758224</v>
      </c>
      <c r="AB144" s="96">
        <v>0</v>
      </c>
      <c r="AC144" s="96">
        <f t="shared" si="95"/>
        <v>0.24124417671666162</v>
      </c>
      <c r="AD144" s="98">
        <f t="shared" si="96"/>
        <v>0.24124417671666162</v>
      </c>
      <c r="AE144" s="97">
        <f t="shared" si="97"/>
        <v>14.236634074074075</v>
      </c>
      <c r="AF144" s="96">
        <f t="shared" si="98"/>
        <v>4.9116613962758224</v>
      </c>
      <c r="AG144" s="96">
        <f t="shared" si="87"/>
        <v>0.10614743775533111</v>
      </c>
      <c r="AH144" s="96">
        <f t="shared" si="88"/>
        <v>11.148487912087914</v>
      </c>
      <c r="AI144" s="98">
        <f t="shared" si="99"/>
        <v>11.254635349843245</v>
      </c>
      <c r="AJ144" s="97">
        <f t="shared" si="100"/>
        <v>7.3066666666666675</v>
      </c>
      <c r="AK144" s="96">
        <f t="shared" si="101"/>
        <v>10.289453205126287</v>
      </c>
      <c r="AL144" s="96">
        <f t="shared" si="102"/>
        <v>0.47493333333333343</v>
      </c>
      <c r="AM144" s="96">
        <f t="shared" si="89"/>
        <v>4.8104000000000005</v>
      </c>
      <c r="AN144" s="98">
        <f t="shared" si="103"/>
        <v>5.2853333333333339</v>
      </c>
      <c r="AO144" s="97">
        <f t="shared" si="90"/>
        <v>9.6497670686664649E-2</v>
      </c>
      <c r="AP144" s="96">
        <f t="shared" si="91"/>
        <v>0.29025000000000001</v>
      </c>
      <c r="AQ144" s="98">
        <f t="shared" si="104"/>
        <v>8.0999999999999996E-3</v>
      </c>
      <c r="AR144" s="97">
        <f t="shared" si="105"/>
        <v>16.934816353863241</v>
      </c>
      <c r="AS144" s="96">
        <f t="shared" si="106"/>
        <v>87.68</v>
      </c>
      <c r="AT144" s="98">
        <f t="shared" si="107"/>
        <v>83.812219966452332</v>
      </c>
    </row>
    <row r="145" spans="17:46" x14ac:dyDescent="0.3">
      <c r="Q145" s="32">
        <v>138</v>
      </c>
      <c r="R145" s="97">
        <f t="shared" si="80"/>
        <v>12</v>
      </c>
      <c r="S145" s="96">
        <f t="shared" si="81"/>
        <v>7.36</v>
      </c>
      <c r="T145" s="96">
        <f t="shared" si="82"/>
        <v>18</v>
      </c>
      <c r="U145" s="98">
        <f t="shared" si="83"/>
        <v>4.9066666666666672</v>
      </c>
      <c r="V145" s="97">
        <f t="shared" si="84"/>
        <v>2</v>
      </c>
      <c r="W145" s="96">
        <f t="shared" si="85"/>
        <v>0.4</v>
      </c>
      <c r="X145" s="98">
        <f t="shared" si="86"/>
        <v>0.6</v>
      </c>
      <c r="Y145" s="97">
        <f t="shared" si="92"/>
        <v>2.1818181818181821</v>
      </c>
      <c r="Z145" s="96">
        <f t="shared" si="93"/>
        <v>14.448484848484849</v>
      </c>
      <c r="AA145" s="96">
        <f t="shared" si="94"/>
        <v>4.9469255091070261</v>
      </c>
      <c r="AB145" s="96">
        <v>0</v>
      </c>
      <c r="AC145" s="96">
        <f t="shared" si="95"/>
        <v>0.2447207199265381</v>
      </c>
      <c r="AD145" s="98">
        <f t="shared" si="96"/>
        <v>0.2447207199265381</v>
      </c>
      <c r="AE145" s="97">
        <f t="shared" si="97"/>
        <v>14.44522666666667</v>
      </c>
      <c r="AF145" s="96">
        <f t="shared" si="98"/>
        <v>4.9469255091070261</v>
      </c>
      <c r="AG145" s="96">
        <f t="shared" si="87"/>
        <v>0.10767711676767677</v>
      </c>
      <c r="AH145" s="96">
        <f t="shared" si="88"/>
        <v>11.229863736263738</v>
      </c>
      <c r="AI145" s="98">
        <f t="shared" si="99"/>
        <v>11.337540853031415</v>
      </c>
      <c r="AJ145" s="97">
        <f t="shared" si="100"/>
        <v>7.36</v>
      </c>
      <c r="AK145" s="96">
        <f t="shared" si="101"/>
        <v>10.35822931782025</v>
      </c>
      <c r="AL145" s="96">
        <f t="shared" si="102"/>
        <v>0.47840000000000005</v>
      </c>
      <c r="AM145" s="96">
        <f t="shared" si="89"/>
        <v>4.8104000000000005</v>
      </c>
      <c r="AN145" s="98">
        <f t="shared" si="103"/>
        <v>5.2888000000000002</v>
      </c>
      <c r="AO145" s="97">
        <f t="shared" si="90"/>
        <v>9.7888287970615245E-2</v>
      </c>
      <c r="AP145" s="96">
        <f t="shared" si="91"/>
        <v>0.29025000000000001</v>
      </c>
      <c r="AQ145" s="98">
        <f t="shared" si="104"/>
        <v>8.0999999999999996E-3</v>
      </c>
      <c r="AR145" s="97">
        <f t="shared" si="105"/>
        <v>17.02257914100203</v>
      </c>
      <c r="AS145" s="96">
        <f t="shared" si="106"/>
        <v>88.320000000000007</v>
      </c>
      <c r="AT145" s="98">
        <f t="shared" si="107"/>
        <v>83.840742005929869</v>
      </c>
    </row>
    <row r="146" spans="17:46" x14ac:dyDescent="0.3">
      <c r="Q146" s="32">
        <v>139</v>
      </c>
      <c r="R146" s="97">
        <f t="shared" si="80"/>
        <v>12</v>
      </c>
      <c r="S146" s="96">
        <f t="shared" si="81"/>
        <v>7.413333333333334</v>
      </c>
      <c r="T146" s="96">
        <f t="shared" si="82"/>
        <v>18</v>
      </c>
      <c r="U146" s="98">
        <f t="shared" si="83"/>
        <v>4.942222222222223</v>
      </c>
      <c r="V146" s="97">
        <f t="shared" si="84"/>
        <v>2</v>
      </c>
      <c r="W146" s="96">
        <f t="shared" si="85"/>
        <v>0.4</v>
      </c>
      <c r="X146" s="98">
        <f t="shared" si="86"/>
        <v>0.6</v>
      </c>
      <c r="Y146" s="97">
        <f t="shared" si="92"/>
        <v>2.1818181818181821</v>
      </c>
      <c r="Z146" s="96">
        <f t="shared" si="93"/>
        <v>14.53737373737374</v>
      </c>
      <c r="AA146" s="96">
        <f t="shared" si="94"/>
        <v>4.9821937646686525</v>
      </c>
      <c r="AB146" s="96">
        <v>0</v>
      </c>
      <c r="AC146" s="96">
        <f t="shared" si="95"/>
        <v>0.24822254708703204</v>
      </c>
      <c r="AD146" s="98">
        <f t="shared" si="96"/>
        <v>0.24822254708703204</v>
      </c>
      <c r="AE146" s="97">
        <f t="shared" si="97"/>
        <v>14.655336296296301</v>
      </c>
      <c r="AF146" s="96">
        <f t="shared" si="98"/>
        <v>4.9821937646686525</v>
      </c>
      <c r="AG146" s="96">
        <f t="shared" si="87"/>
        <v>0.1092179207182941</v>
      </c>
      <c r="AH146" s="96">
        <f t="shared" si="88"/>
        <v>11.311239560439564</v>
      </c>
      <c r="AI146" s="98">
        <f t="shared" si="99"/>
        <v>11.420457481157857</v>
      </c>
      <c r="AJ146" s="97">
        <f t="shared" si="100"/>
        <v>7.413333333333334</v>
      </c>
      <c r="AK146" s="96">
        <f t="shared" si="101"/>
        <v>10.4270064458645</v>
      </c>
      <c r="AL146" s="96">
        <f t="shared" si="102"/>
        <v>0.48186666666666672</v>
      </c>
      <c r="AM146" s="96">
        <f t="shared" si="89"/>
        <v>4.8104000000000005</v>
      </c>
      <c r="AN146" s="98">
        <f t="shared" si="103"/>
        <v>5.2922666666666673</v>
      </c>
      <c r="AO146" s="97">
        <f t="shared" si="90"/>
        <v>9.9289018834812809E-2</v>
      </c>
      <c r="AP146" s="96">
        <f t="shared" si="91"/>
        <v>0.29025000000000001</v>
      </c>
      <c r="AQ146" s="98">
        <f t="shared" si="104"/>
        <v>8.0999999999999996E-3</v>
      </c>
      <c r="AR146" s="97">
        <f t="shared" si="105"/>
        <v>17.110363166659337</v>
      </c>
      <c r="AS146" s="96">
        <f t="shared" si="106"/>
        <v>88.960000000000008</v>
      </c>
      <c r="AT146" s="98">
        <f t="shared" si="107"/>
        <v>83.868855865256847</v>
      </c>
    </row>
    <row r="147" spans="17:46" x14ac:dyDescent="0.3">
      <c r="Q147" s="32">
        <v>140</v>
      </c>
      <c r="R147" s="97">
        <f t="shared" si="80"/>
        <v>12</v>
      </c>
      <c r="S147" s="96">
        <f t="shared" si="81"/>
        <v>7.4666666666666668</v>
      </c>
      <c r="T147" s="96">
        <f t="shared" si="82"/>
        <v>18</v>
      </c>
      <c r="U147" s="98">
        <f t="shared" si="83"/>
        <v>4.9777777777777779</v>
      </c>
      <c r="V147" s="97">
        <f t="shared" si="84"/>
        <v>2</v>
      </c>
      <c r="W147" s="96">
        <f t="shared" si="85"/>
        <v>0.4</v>
      </c>
      <c r="X147" s="98">
        <f t="shared" si="86"/>
        <v>0.6</v>
      </c>
      <c r="Y147" s="97">
        <f t="shared" si="92"/>
        <v>2.1818181818181821</v>
      </c>
      <c r="Z147" s="96">
        <f t="shared" si="93"/>
        <v>14.626262626262626</v>
      </c>
      <c r="AA147" s="96">
        <f t="shared" si="94"/>
        <v>5.017466075601738</v>
      </c>
      <c r="AB147" s="96">
        <v>0</v>
      </c>
      <c r="AC147" s="96">
        <f t="shared" si="95"/>
        <v>0.25174965819814304</v>
      </c>
      <c r="AD147" s="98">
        <f t="shared" si="96"/>
        <v>0.25174965819814304</v>
      </c>
      <c r="AE147" s="97">
        <f t="shared" si="97"/>
        <v>14.866962962962965</v>
      </c>
      <c r="AF147" s="96">
        <f t="shared" si="98"/>
        <v>5.017466075601738</v>
      </c>
      <c r="AG147" s="96">
        <f t="shared" si="87"/>
        <v>0.11076984960718295</v>
      </c>
      <c r="AH147" s="96">
        <f t="shared" si="88"/>
        <v>11.392615384615386</v>
      </c>
      <c r="AI147" s="98">
        <f t="shared" si="99"/>
        <v>11.503385234222568</v>
      </c>
      <c r="AJ147" s="97">
        <f t="shared" si="100"/>
        <v>7.4666666666666668</v>
      </c>
      <c r="AK147" s="96">
        <f t="shared" si="101"/>
        <v>10.495784569298767</v>
      </c>
      <c r="AL147" s="96">
        <f t="shared" si="102"/>
        <v>0.48533333333333334</v>
      </c>
      <c r="AM147" s="96">
        <f t="shared" si="89"/>
        <v>4.8104000000000005</v>
      </c>
      <c r="AN147" s="98">
        <f t="shared" si="103"/>
        <v>5.2957333333333336</v>
      </c>
      <c r="AO147" s="97">
        <f t="shared" si="90"/>
        <v>0.10069986327925722</v>
      </c>
      <c r="AP147" s="96">
        <f t="shared" si="91"/>
        <v>0.29025000000000001</v>
      </c>
      <c r="AQ147" s="98">
        <f t="shared" si="104"/>
        <v>8.0999999999999996E-3</v>
      </c>
      <c r="AR147" s="97">
        <f t="shared" si="105"/>
        <v>17.19816843083516</v>
      </c>
      <c r="AS147" s="96">
        <f t="shared" si="106"/>
        <v>89.6</v>
      </c>
      <c r="AT147" s="98">
        <f t="shared" si="107"/>
        <v>83.896569872382159</v>
      </c>
    </row>
    <row r="148" spans="17:46" x14ac:dyDescent="0.3">
      <c r="Q148" s="32">
        <v>141</v>
      </c>
      <c r="R148" s="97">
        <f t="shared" si="80"/>
        <v>12</v>
      </c>
      <c r="S148" s="96">
        <f t="shared" si="81"/>
        <v>7.5200000000000005</v>
      </c>
      <c r="T148" s="96">
        <f t="shared" si="82"/>
        <v>18</v>
      </c>
      <c r="U148" s="98">
        <f t="shared" si="83"/>
        <v>5.0133333333333336</v>
      </c>
      <c r="V148" s="97">
        <f t="shared" si="84"/>
        <v>2</v>
      </c>
      <c r="W148" s="96">
        <f t="shared" si="85"/>
        <v>0.4</v>
      </c>
      <c r="X148" s="98">
        <f t="shared" si="86"/>
        <v>0.6</v>
      </c>
      <c r="Y148" s="97">
        <f t="shared" si="92"/>
        <v>2.1818181818181821</v>
      </c>
      <c r="Z148" s="96">
        <f t="shared" si="93"/>
        <v>14.715151515151517</v>
      </c>
      <c r="AA148" s="96">
        <f t="shared" si="94"/>
        <v>5.0527423569767684</v>
      </c>
      <c r="AB148" s="96">
        <v>0</v>
      </c>
      <c r="AC148" s="96">
        <f t="shared" si="95"/>
        <v>0.25530205325987149</v>
      </c>
      <c r="AD148" s="98">
        <f t="shared" si="96"/>
        <v>0.25530205325987149</v>
      </c>
      <c r="AE148" s="97">
        <f t="shared" si="97"/>
        <v>15.080106666666669</v>
      </c>
      <c r="AF148" s="96">
        <f t="shared" si="98"/>
        <v>5.0527423569767684</v>
      </c>
      <c r="AG148" s="96">
        <f t="shared" si="87"/>
        <v>0.11233290343434348</v>
      </c>
      <c r="AH148" s="96">
        <f t="shared" si="88"/>
        <v>11.473991208791212</v>
      </c>
      <c r="AI148" s="98">
        <f t="shared" si="99"/>
        <v>11.586324112225554</v>
      </c>
      <c r="AJ148" s="97">
        <f t="shared" si="100"/>
        <v>7.5200000000000005</v>
      </c>
      <c r="AK148" s="96">
        <f t="shared" si="101"/>
        <v>10.564563668682295</v>
      </c>
      <c r="AL148" s="96">
        <f t="shared" si="102"/>
        <v>0.48880000000000007</v>
      </c>
      <c r="AM148" s="96">
        <f t="shared" si="89"/>
        <v>4.8104000000000005</v>
      </c>
      <c r="AN148" s="98">
        <f t="shared" si="103"/>
        <v>5.2992000000000008</v>
      </c>
      <c r="AO148" s="97">
        <f t="shared" si="90"/>
        <v>0.1021208213039486</v>
      </c>
      <c r="AP148" s="96">
        <f t="shared" si="91"/>
        <v>0.29025000000000001</v>
      </c>
      <c r="AQ148" s="98">
        <f t="shared" si="104"/>
        <v>8.0999999999999996E-3</v>
      </c>
      <c r="AR148" s="97">
        <f t="shared" si="105"/>
        <v>17.285994933529501</v>
      </c>
      <c r="AS148" s="96">
        <f t="shared" si="106"/>
        <v>90.240000000000009</v>
      </c>
      <c r="AT148" s="98">
        <f t="shared" si="107"/>
        <v>83.923892130256149</v>
      </c>
    </row>
    <row r="149" spans="17:46" x14ac:dyDescent="0.3">
      <c r="Q149" s="32">
        <v>142</v>
      </c>
      <c r="R149" s="97">
        <f t="shared" si="80"/>
        <v>12</v>
      </c>
      <c r="S149" s="96">
        <f t="shared" si="81"/>
        <v>7.5733333333333341</v>
      </c>
      <c r="T149" s="96">
        <f t="shared" si="82"/>
        <v>18</v>
      </c>
      <c r="U149" s="98">
        <f t="shared" si="83"/>
        <v>5.0488888888888894</v>
      </c>
      <c r="V149" s="97">
        <f t="shared" si="84"/>
        <v>2</v>
      </c>
      <c r="W149" s="96">
        <f t="shared" si="85"/>
        <v>0.4</v>
      </c>
      <c r="X149" s="98">
        <f t="shared" si="86"/>
        <v>0.6</v>
      </c>
      <c r="Y149" s="97">
        <f t="shared" si="92"/>
        <v>2.1818181818181821</v>
      </c>
      <c r="Z149" s="96">
        <f t="shared" si="93"/>
        <v>14.804040404040405</v>
      </c>
      <c r="AA149" s="96">
        <f t="shared" si="94"/>
        <v>5.0880225262101302</v>
      </c>
      <c r="AB149" s="96">
        <v>0</v>
      </c>
      <c r="AC149" s="96">
        <f t="shared" si="95"/>
        <v>0.25887973227221717</v>
      </c>
      <c r="AD149" s="98">
        <f t="shared" si="96"/>
        <v>0.25887973227221717</v>
      </c>
      <c r="AE149" s="97">
        <f t="shared" si="97"/>
        <v>15.294767407407413</v>
      </c>
      <c r="AF149" s="96">
        <f t="shared" si="98"/>
        <v>5.0880225262101302</v>
      </c>
      <c r="AG149" s="96">
        <f t="shared" si="87"/>
        <v>0.11390708219977555</v>
      </c>
      <c r="AH149" s="96">
        <f t="shared" si="88"/>
        <v>11.555367032967034</v>
      </c>
      <c r="AI149" s="98">
        <f t="shared" si="99"/>
        <v>11.669274115166809</v>
      </c>
      <c r="AJ149" s="97">
        <f t="shared" si="100"/>
        <v>7.5733333333333341</v>
      </c>
      <c r="AK149" s="96">
        <f t="shared" si="101"/>
        <v>10.633343725077035</v>
      </c>
      <c r="AL149" s="96">
        <f t="shared" si="102"/>
        <v>0.49226666666666674</v>
      </c>
      <c r="AM149" s="96">
        <f t="shared" si="89"/>
        <v>4.8104000000000005</v>
      </c>
      <c r="AN149" s="98">
        <f t="shared" si="103"/>
        <v>5.3026666666666671</v>
      </c>
      <c r="AO149" s="97">
        <f t="shared" si="90"/>
        <v>0.10355189290888686</v>
      </c>
      <c r="AP149" s="96">
        <f t="shared" si="91"/>
        <v>0.29025000000000001</v>
      </c>
      <c r="AQ149" s="98">
        <f t="shared" si="104"/>
        <v>8.0999999999999996E-3</v>
      </c>
      <c r="AR149" s="97">
        <f t="shared" si="105"/>
        <v>17.373842674742363</v>
      </c>
      <c r="AS149" s="96">
        <f t="shared" si="106"/>
        <v>90.88000000000001</v>
      </c>
      <c r="AT149" s="98">
        <f t="shared" si="107"/>
        <v>83.950830524378233</v>
      </c>
    </row>
    <row r="150" spans="17:46" x14ac:dyDescent="0.3">
      <c r="Q150" s="32">
        <v>143</v>
      </c>
      <c r="R150" s="97">
        <f t="shared" si="80"/>
        <v>12</v>
      </c>
      <c r="S150" s="96">
        <f t="shared" si="81"/>
        <v>7.6266666666666669</v>
      </c>
      <c r="T150" s="96">
        <f t="shared" si="82"/>
        <v>18</v>
      </c>
      <c r="U150" s="98">
        <f t="shared" si="83"/>
        <v>5.0844444444444452</v>
      </c>
      <c r="V150" s="97">
        <f t="shared" si="84"/>
        <v>2</v>
      </c>
      <c r="W150" s="96">
        <f t="shared" si="85"/>
        <v>0.4</v>
      </c>
      <c r="X150" s="98">
        <f t="shared" si="86"/>
        <v>0.6</v>
      </c>
      <c r="Y150" s="97">
        <f t="shared" si="92"/>
        <v>2.1818181818181821</v>
      </c>
      <c r="Z150" s="96">
        <f t="shared" si="93"/>
        <v>14.892929292929294</v>
      </c>
      <c r="AA150" s="96">
        <f t="shared" si="94"/>
        <v>5.1233065029839873</v>
      </c>
      <c r="AB150" s="96">
        <v>0</v>
      </c>
      <c r="AC150" s="96">
        <f t="shared" si="95"/>
        <v>0.26248269523518014</v>
      </c>
      <c r="AD150" s="98">
        <f t="shared" si="96"/>
        <v>0.26248269523518014</v>
      </c>
      <c r="AE150" s="97">
        <f t="shared" si="97"/>
        <v>15.510945185185188</v>
      </c>
      <c r="AF150" s="96">
        <f t="shared" si="98"/>
        <v>5.1233065029839873</v>
      </c>
      <c r="AG150" s="96">
        <f t="shared" si="87"/>
        <v>0.11549238590347925</v>
      </c>
      <c r="AH150" s="96">
        <f t="shared" si="88"/>
        <v>11.63674285714286</v>
      </c>
      <c r="AI150" s="98">
        <f t="shared" si="99"/>
        <v>11.752235243046339</v>
      </c>
      <c r="AJ150" s="97">
        <f t="shared" si="100"/>
        <v>7.6266666666666669</v>
      </c>
      <c r="AK150" s="96">
        <f t="shared" si="101"/>
        <v>10.702124720031527</v>
      </c>
      <c r="AL150" s="96">
        <f t="shared" si="102"/>
        <v>0.49573333333333336</v>
      </c>
      <c r="AM150" s="96">
        <f t="shared" si="89"/>
        <v>4.8104000000000005</v>
      </c>
      <c r="AN150" s="98">
        <f t="shared" si="103"/>
        <v>5.3061333333333334</v>
      </c>
      <c r="AO150" s="97">
        <f t="shared" si="90"/>
        <v>0.10499307809407205</v>
      </c>
      <c r="AP150" s="96">
        <f t="shared" si="91"/>
        <v>0.29025000000000001</v>
      </c>
      <c r="AQ150" s="98">
        <f t="shared" si="104"/>
        <v>8.0999999999999996E-3</v>
      </c>
      <c r="AR150" s="97">
        <f t="shared" si="105"/>
        <v>17.461711654473746</v>
      </c>
      <c r="AS150" s="96">
        <f t="shared" si="106"/>
        <v>91.52000000000001</v>
      </c>
      <c r="AT150" s="98">
        <f t="shared" si="107"/>
        <v>83.977392730042581</v>
      </c>
    </row>
    <row r="151" spans="17:46" x14ac:dyDescent="0.3">
      <c r="Q151" s="32">
        <v>144</v>
      </c>
      <c r="R151" s="97">
        <f t="shared" si="80"/>
        <v>12</v>
      </c>
      <c r="S151" s="96">
        <f t="shared" si="81"/>
        <v>7.6800000000000006</v>
      </c>
      <c r="T151" s="96">
        <f t="shared" si="82"/>
        <v>18</v>
      </c>
      <c r="U151" s="98">
        <f t="shared" si="83"/>
        <v>5.120000000000001</v>
      </c>
      <c r="V151" s="97">
        <f t="shared" si="84"/>
        <v>2</v>
      </c>
      <c r="W151" s="96">
        <f t="shared" si="85"/>
        <v>0.4</v>
      </c>
      <c r="X151" s="98">
        <f t="shared" si="86"/>
        <v>0.6</v>
      </c>
      <c r="Y151" s="97">
        <f t="shared" si="92"/>
        <v>2.1818181818181821</v>
      </c>
      <c r="Z151" s="96">
        <f t="shared" si="93"/>
        <v>14.981818181818182</v>
      </c>
      <c r="AA151" s="96">
        <f t="shared" si="94"/>
        <v>5.1585942091693973</v>
      </c>
      <c r="AB151" s="96">
        <v>0</v>
      </c>
      <c r="AC151" s="96">
        <f t="shared" si="95"/>
        <v>0.26611094214876041</v>
      </c>
      <c r="AD151" s="98">
        <f t="shared" si="96"/>
        <v>0.26611094214876041</v>
      </c>
      <c r="AE151" s="97">
        <f t="shared" si="97"/>
        <v>15.728640000000006</v>
      </c>
      <c r="AF151" s="96">
        <f t="shared" si="98"/>
        <v>5.1585942091693973</v>
      </c>
      <c r="AG151" s="96">
        <f t="shared" si="87"/>
        <v>0.11708881454545458</v>
      </c>
      <c r="AH151" s="96">
        <f t="shared" si="88"/>
        <v>11.718118681318682</v>
      </c>
      <c r="AI151" s="98">
        <f t="shared" si="99"/>
        <v>11.835207495864136</v>
      </c>
      <c r="AJ151" s="97">
        <f t="shared" si="100"/>
        <v>7.6800000000000006</v>
      </c>
      <c r="AK151" s="96">
        <f t="shared" si="101"/>
        <v>10.770906635565371</v>
      </c>
      <c r="AL151" s="96">
        <f t="shared" si="102"/>
        <v>0.49920000000000003</v>
      </c>
      <c r="AM151" s="96">
        <f t="shared" si="89"/>
        <v>4.8104000000000005</v>
      </c>
      <c r="AN151" s="98">
        <f t="shared" si="103"/>
        <v>5.3096000000000005</v>
      </c>
      <c r="AO151" s="97">
        <f t="shared" si="90"/>
        <v>0.10644437685950417</v>
      </c>
      <c r="AP151" s="96">
        <f t="shared" si="91"/>
        <v>0.29025000000000001</v>
      </c>
      <c r="AQ151" s="98">
        <f t="shared" si="104"/>
        <v>8.0999999999999996E-3</v>
      </c>
      <c r="AR151" s="97">
        <f t="shared" si="105"/>
        <v>17.549601872723642</v>
      </c>
      <c r="AS151" s="96">
        <f t="shared" si="106"/>
        <v>92.160000000000011</v>
      </c>
      <c r="AT151" s="98">
        <f t="shared" si="107"/>
        <v>84.003586219296196</v>
      </c>
    </row>
    <row r="152" spans="17:46" x14ac:dyDescent="0.3">
      <c r="Q152" s="32">
        <v>145</v>
      </c>
      <c r="R152" s="97">
        <f t="shared" si="80"/>
        <v>12</v>
      </c>
      <c r="S152" s="96">
        <f t="shared" si="81"/>
        <v>7.7333333333333334</v>
      </c>
      <c r="T152" s="96">
        <f t="shared" si="82"/>
        <v>18</v>
      </c>
      <c r="U152" s="98">
        <f t="shared" si="83"/>
        <v>5.155555555555555</v>
      </c>
      <c r="V152" s="97">
        <f t="shared" si="84"/>
        <v>2</v>
      </c>
      <c r="W152" s="96">
        <f t="shared" si="85"/>
        <v>0.4</v>
      </c>
      <c r="X152" s="98">
        <f t="shared" si="86"/>
        <v>0.6</v>
      </c>
      <c r="Y152" s="97">
        <f t="shared" si="92"/>
        <v>2.1818181818181821</v>
      </c>
      <c r="Z152" s="96">
        <f t="shared" si="93"/>
        <v>15.070707070707071</v>
      </c>
      <c r="AA152" s="96">
        <f t="shared" si="94"/>
        <v>5.1938855687525285</v>
      </c>
      <c r="AB152" s="96">
        <v>0</v>
      </c>
      <c r="AC152" s="96">
        <f t="shared" si="95"/>
        <v>0.26976447301295781</v>
      </c>
      <c r="AD152" s="98">
        <f t="shared" si="96"/>
        <v>0.26976447301295781</v>
      </c>
      <c r="AE152" s="97">
        <f t="shared" si="97"/>
        <v>15.947851851851851</v>
      </c>
      <c r="AF152" s="96">
        <f t="shared" si="98"/>
        <v>5.1938855687525285</v>
      </c>
      <c r="AG152" s="96">
        <f t="shared" si="87"/>
        <v>0.11869636812570143</v>
      </c>
      <c r="AH152" s="96">
        <f t="shared" si="88"/>
        <v>11.799494505494508</v>
      </c>
      <c r="AI152" s="98">
        <f t="shared" si="99"/>
        <v>11.91819087362021</v>
      </c>
      <c r="AJ152" s="97">
        <f t="shared" si="100"/>
        <v>7.7333333333333334</v>
      </c>
      <c r="AK152" s="96">
        <f t="shared" si="101"/>
        <v>10.839689454154295</v>
      </c>
      <c r="AL152" s="96">
        <f t="shared" si="102"/>
        <v>0.50266666666666671</v>
      </c>
      <c r="AM152" s="96">
        <f t="shared" si="89"/>
        <v>4.8104000000000005</v>
      </c>
      <c r="AN152" s="98">
        <f t="shared" si="103"/>
        <v>5.3130666666666668</v>
      </c>
      <c r="AO152" s="97">
        <f t="shared" si="90"/>
        <v>0.10790578920518311</v>
      </c>
      <c r="AP152" s="96">
        <f t="shared" si="91"/>
        <v>0.29025000000000001</v>
      </c>
      <c r="AQ152" s="98">
        <f t="shared" si="104"/>
        <v>8.0999999999999996E-3</v>
      </c>
      <c r="AR152" s="97">
        <f t="shared" si="105"/>
        <v>17.637513329492059</v>
      </c>
      <c r="AS152" s="96">
        <f t="shared" si="106"/>
        <v>92.8</v>
      </c>
      <c r="AT152" s="98">
        <f t="shared" si="107"/>
        <v>84.02941826762229</v>
      </c>
    </row>
    <row r="153" spans="17:46" x14ac:dyDescent="0.3">
      <c r="Q153" s="32">
        <v>146</v>
      </c>
      <c r="R153" s="97">
        <f t="shared" si="80"/>
        <v>12</v>
      </c>
      <c r="S153" s="96">
        <f t="shared" si="81"/>
        <v>7.7866666666666671</v>
      </c>
      <c r="T153" s="96">
        <f t="shared" si="82"/>
        <v>18</v>
      </c>
      <c r="U153" s="98">
        <f t="shared" si="83"/>
        <v>5.1911111111111108</v>
      </c>
      <c r="V153" s="97">
        <f t="shared" si="84"/>
        <v>2</v>
      </c>
      <c r="W153" s="96">
        <f t="shared" si="85"/>
        <v>0.4</v>
      </c>
      <c r="X153" s="98">
        <f t="shared" si="86"/>
        <v>0.6</v>
      </c>
      <c r="Y153" s="97">
        <f t="shared" si="92"/>
        <v>2.1818181818181821</v>
      </c>
      <c r="Z153" s="96">
        <f t="shared" si="93"/>
        <v>15.15959595959596</v>
      </c>
      <c r="AA153" s="96">
        <f t="shared" si="94"/>
        <v>5.2291805077638376</v>
      </c>
      <c r="AB153" s="96">
        <v>0</v>
      </c>
      <c r="AC153" s="96">
        <f t="shared" si="95"/>
        <v>0.27344328782777266</v>
      </c>
      <c r="AD153" s="98">
        <f t="shared" si="96"/>
        <v>0.27344328782777266</v>
      </c>
      <c r="AE153" s="97">
        <f t="shared" si="97"/>
        <v>16.16858074074074</v>
      </c>
      <c r="AF153" s="96">
        <f t="shared" si="98"/>
        <v>5.2291805077638376</v>
      </c>
      <c r="AG153" s="96">
        <f t="shared" si="87"/>
        <v>0.12031504664421999</v>
      </c>
      <c r="AH153" s="96">
        <f t="shared" si="88"/>
        <v>11.88087032967033</v>
      </c>
      <c r="AI153" s="98">
        <f t="shared" si="99"/>
        <v>12.001185376314551</v>
      </c>
      <c r="AJ153" s="97">
        <f t="shared" si="100"/>
        <v>7.7866666666666671</v>
      </c>
      <c r="AK153" s="96">
        <f t="shared" si="101"/>
        <v>10.908473158715799</v>
      </c>
      <c r="AL153" s="96">
        <f t="shared" si="102"/>
        <v>0.50613333333333332</v>
      </c>
      <c r="AM153" s="96">
        <f t="shared" si="89"/>
        <v>4.8104000000000005</v>
      </c>
      <c r="AN153" s="98">
        <f t="shared" si="103"/>
        <v>5.316533333333334</v>
      </c>
      <c r="AO153" s="97">
        <f t="shared" si="90"/>
        <v>0.10937731513110907</v>
      </c>
      <c r="AP153" s="96">
        <f t="shared" si="91"/>
        <v>0.29025000000000001</v>
      </c>
      <c r="AQ153" s="98">
        <f t="shared" si="104"/>
        <v>8.0999999999999996E-3</v>
      </c>
      <c r="AR153" s="97">
        <f t="shared" si="105"/>
        <v>17.725446024778993</v>
      </c>
      <c r="AS153" s="96">
        <f t="shared" si="106"/>
        <v>93.44</v>
      </c>
      <c r="AT153" s="98">
        <f t="shared" si="107"/>
        <v>84.054895960361691</v>
      </c>
    </row>
    <row r="154" spans="17:46" x14ac:dyDescent="0.3">
      <c r="Q154" s="32">
        <v>147</v>
      </c>
      <c r="R154" s="97">
        <f t="shared" si="80"/>
        <v>12</v>
      </c>
      <c r="S154" s="96">
        <f t="shared" si="81"/>
        <v>7.8400000000000007</v>
      </c>
      <c r="T154" s="96">
        <f t="shared" si="82"/>
        <v>18</v>
      </c>
      <c r="U154" s="98">
        <f t="shared" si="83"/>
        <v>5.2266666666666675</v>
      </c>
      <c r="V154" s="97">
        <f t="shared" si="84"/>
        <v>2</v>
      </c>
      <c r="W154" s="96">
        <f t="shared" si="85"/>
        <v>0.4</v>
      </c>
      <c r="X154" s="98">
        <f t="shared" si="86"/>
        <v>0.6</v>
      </c>
      <c r="Y154" s="97">
        <f t="shared" si="92"/>
        <v>2.1818181818181821</v>
      </c>
      <c r="Z154" s="96">
        <f t="shared" si="93"/>
        <v>15.24848484848485</v>
      </c>
      <c r="AA154" s="96">
        <f t="shared" si="94"/>
        <v>5.2644789542100447</v>
      </c>
      <c r="AB154" s="96">
        <v>0</v>
      </c>
      <c r="AC154" s="96">
        <f t="shared" si="95"/>
        <v>0.27714738659320487</v>
      </c>
      <c r="AD154" s="98">
        <f t="shared" si="96"/>
        <v>0.27714738659320487</v>
      </c>
      <c r="AE154" s="97">
        <f t="shared" si="97"/>
        <v>16.390826666666673</v>
      </c>
      <c r="AF154" s="96">
        <f t="shared" si="98"/>
        <v>5.2644789542100447</v>
      </c>
      <c r="AG154" s="96">
        <f t="shared" si="87"/>
        <v>0.12194485010101014</v>
      </c>
      <c r="AH154" s="96">
        <f t="shared" si="88"/>
        <v>11.962246153846158</v>
      </c>
      <c r="AI154" s="98">
        <f t="shared" si="99"/>
        <v>12.084191003947168</v>
      </c>
      <c r="AJ154" s="97">
        <f t="shared" si="100"/>
        <v>7.8400000000000007</v>
      </c>
      <c r="AK154" s="96">
        <f t="shared" si="101"/>
        <v>10.977257732595318</v>
      </c>
      <c r="AL154" s="96">
        <f t="shared" si="102"/>
        <v>0.50960000000000005</v>
      </c>
      <c r="AM154" s="96">
        <f t="shared" si="89"/>
        <v>4.8104000000000005</v>
      </c>
      <c r="AN154" s="98">
        <f t="shared" si="103"/>
        <v>5.32</v>
      </c>
      <c r="AO154" s="97">
        <f t="shared" si="90"/>
        <v>0.11085895463728195</v>
      </c>
      <c r="AP154" s="96">
        <f t="shared" si="91"/>
        <v>0.29025000000000001</v>
      </c>
      <c r="AQ154" s="98">
        <f t="shared" si="104"/>
        <v>8.0999999999999996E-3</v>
      </c>
      <c r="AR154" s="97">
        <f t="shared" si="105"/>
        <v>17.813399958584448</v>
      </c>
      <c r="AS154" s="96">
        <f t="shared" si="106"/>
        <v>94.080000000000013</v>
      </c>
      <c r="AT154" s="98">
        <f t="shared" si="107"/>
        <v>84.080026198884113</v>
      </c>
    </row>
    <row r="155" spans="17:46" x14ac:dyDescent="0.3">
      <c r="Q155" s="32">
        <v>148</v>
      </c>
      <c r="R155" s="97">
        <f t="shared" si="80"/>
        <v>12</v>
      </c>
      <c r="S155" s="96">
        <f t="shared" si="81"/>
        <v>7.8933333333333335</v>
      </c>
      <c r="T155" s="96">
        <f t="shared" si="82"/>
        <v>18</v>
      </c>
      <c r="U155" s="98">
        <f t="shared" si="83"/>
        <v>5.2622222222222224</v>
      </c>
      <c r="V155" s="97">
        <f t="shared" si="84"/>
        <v>2</v>
      </c>
      <c r="W155" s="96">
        <f t="shared" si="85"/>
        <v>0.4</v>
      </c>
      <c r="X155" s="98">
        <f t="shared" si="86"/>
        <v>0.6</v>
      </c>
      <c r="Y155" s="97">
        <f t="shared" si="92"/>
        <v>2.1818181818181821</v>
      </c>
      <c r="Z155" s="96">
        <f t="shared" si="93"/>
        <v>15.337373737373737</v>
      </c>
      <c r="AA155" s="96">
        <f t="shared" si="94"/>
        <v>5.2997808380088145</v>
      </c>
      <c r="AB155" s="96">
        <v>0</v>
      </c>
      <c r="AC155" s="96">
        <f t="shared" si="95"/>
        <v>0.28087676930925415</v>
      </c>
      <c r="AD155" s="98">
        <f t="shared" si="96"/>
        <v>0.28087676930925415</v>
      </c>
      <c r="AE155" s="97">
        <f t="shared" si="97"/>
        <v>16.614589629629631</v>
      </c>
      <c r="AF155" s="96">
        <f t="shared" si="98"/>
        <v>5.2997808380088145</v>
      </c>
      <c r="AG155" s="96">
        <f t="shared" si="87"/>
        <v>0.12358577849607182</v>
      </c>
      <c r="AH155" s="96">
        <f t="shared" si="88"/>
        <v>12.043621978021978</v>
      </c>
      <c r="AI155" s="98">
        <f t="shared" si="99"/>
        <v>12.167207756518049</v>
      </c>
      <c r="AJ155" s="97">
        <f t="shared" si="100"/>
        <v>7.8933333333333335</v>
      </c>
      <c r="AK155" s="96">
        <f t="shared" si="101"/>
        <v>11.046043159552919</v>
      </c>
      <c r="AL155" s="96">
        <f t="shared" si="102"/>
        <v>0.51306666666666667</v>
      </c>
      <c r="AM155" s="96">
        <f t="shared" si="89"/>
        <v>4.8104000000000005</v>
      </c>
      <c r="AN155" s="98">
        <f t="shared" si="103"/>
        <v>5.3234666666666675</v>
      </c>
      <c r="AO155" s="97">
        <f t="shared" si="90"/>
        <v>0.11235070772370165</v>
      </c>
      <c r="AP155" s="96">
        <f t="shared" si="91"/>
        <v>0.29025000000000001</v>
      </c>
      <c r="AQ155" s="98">
        <f t="shared" si="104"/>
        <v>8.0999999999999996E-3</v>
      </c>
      <c r="AR155" s="97">
        <f t="shared" si="105"/>
        <v>17.90137513090842</v>
      </c>
      <c r="AS155" s="96">
        <f t="shared" si="106"/>
        <v>94.72</v>
      </c>
      <c r="AT155" s="98">
        <f t="shared" si="107"/>
        <v>84.104815706520824</v>
      </c>
    </row>
    <row r="156" spans="17:46" x14ac:dyDescent="0.3">
      <c r="Q156" s="32">
        <v>149</v>
      </c>
      <c r="R156" s="97">
        <f t="shared" si="80"/>
        <v>12</v>
      </c>
      <c r="S156" s="96">
        <f t="shared" si="81"/>
        <v>7.9466666666666672</v>
      </c>
      <c r="T156" s="96">
        <f t="shared" si="82"/>
        <v>18</v>
      </c>
      <c r="U156" s="98">
        <f t="shared" si="83"/>
        <v>5.2977777777777781</v>
      </c>
      <c r="V156" s="97">
        <f t="shared" si="84"/>
        <v>2</v>
      </c>
      <c r="W156" s="96">
        <f t="shared" si="85"/>
        <v>0.4</v>
      </c>
      <c r="X156" s="98">
        <f t="shared" si="86"/>
        <v>0.6</v>
      </c>
      <c r="Y156" s="97">
        <f t="shared" si="92"/>
        <v>2.1818181818181821</v>
      </c>
      <c r="Z156" s="96">
        <f t="shared" si="93"/>
        <v>15.426262626262627</v>
      </c>
      <c r="AA156" s="96">
        <f t="shared" si="94"/>
        <v>5.3350860909260014</v>
      </c>
      <c r="AB156" s="96">
        <v>0</v>
      </c>
      <c r="AC156" s="96">
        <f t="shared" si="95"/>
        <v>0.28463143597592083</v>
      </c>
      <c r="AD156" s="98">
        <f t="shared" si="96"/>
        <v>0.28463143597592083</v>
      </c>
      <c r="AE156" s="97">
        <f t="shared" si="97"/>
        <v>16.839869629629632</v>
      </c>
      <c r="AF156" s="96">
        <f t="shared" si="98"/>
        <v>5.3350860909260014</v>
      </c>
      <c r="AG156" s="96">
        <f t="shared" si="87"/>
        <v>0.12523783182940518</v>
      </c>
      <c r="AH156" s="96">
        <f t="shared" si="88"/>
        <v>12.124997802197806</v>
      </c>
      <c r="AI156" s="98">
        <f t="shared" si="99"/>
        <v>12.250235634027211</v>
      </c>
      <c r="AJ156" s="97">
        <f t="shared" si="100"/>
        <v>7.9466666666666672</v>
      </c>
      <c r="AK156" s="96">
        <f t="shared" si="101"/>
        <v>11.114829423750482</v>
      </c>
      <c r="AL156" s="96">
        <f t="shared" si="102"/>
        <v>0.5165333333333334</v>
      </c>
      <c r="AM156" s="96">
        <f t="shared" si="89"/>
        <v>4.8104000000000005</v>
      </c>
      <c r="AN156" s="98">
        <f t="shared" si="103"/>
        <v>5.3269333333333337</v>
      </c>
      <c r="AO156" s="97">
        <f t="shared" si="90"/>
        <v>0.11385257439036833</v>
      </c>
      <c r="AP156" s="96">
        <f t="shared" si="91"/>
        <v>0.29025000000000001</v>
      </c>
      <c r="AQ156" s="98">
        <f t="shared" si="104"/>
        <v>8.0999999999999996E-3</v>
      </c>
      <c r="AR156" s="97">
        <f t="shared" si="105"/>
        <v>17.989371541750913</v>
      </c>
      <c r="AS156" s="96">
        <f t="shared" si="106"/>
        <v>95.360000000000014</v>
      </c>
      <c r="AT156" s="98">
        <f t="shared" si="107"/>
        <v>84.129271034268825</v>
      </c>
    </row>
    <row r="157" spans="17:46" ht="15" thickBot="1" x14ac:dyDescent="0.35">
      <c r="Q157" s="32">
        <v>150</v>
      </c>
      <c r="R157" s="99">
        <f t="shared" si="80"/>
        <v>12</v>
      </c>
      <c r="S157" s="100">
        <f t="shared" si="81"/>
        <v>8</v>
      </c>
      <c r="T157" s="100">
        <f t="shared" si="82"/>
        <v>18</v>
      </c>
      <c r="U157" s="101">
        <f t="shared" si="83"/>
        <v>5.333333333333333</v>
      </c>
      <c r="V157" s="97">
        <f t="shared" si="84"/>
        <v>2</v>
      </c>
      <c r="W157" s="96">
        <f t="shared" si="85"/>
        <v>0.4</v>
      </c>
      <c r="X157" s="98">
        <f t="shared" si="86"/>
        <v>0.6</v>
      </c>
      <c r="Y157" s="97">
        <f t="shared" si="92"/>
        <v>2.1818181818181821</v>
      </c>
      <c r="Z157" s="96">
        <f t="shared" si="93"/>
        <v>15.515151515151514</v>
      </c>
      <c r="AA157" s="96">
        <f t="shared" si="94"/>
        <v>5.3703946465153258</v>
      </c>
      <c r="AB157" s="96">
        <v>0</v>
      </c>
      <c r="AC157" s="96">
        <f t="shared" si="95"/>
        <v>0.2884113865932047</v>
      </c>
      <c r="AD157" s="98">
        <f t="shared" si="96"/>
        <v>0.2884113865932047</v>
      </c>
      <c r="AE157" s="97">
        <f t="shared" si="97"/>
        <v>17.066666666666666</v>
      </c>
      <c r="AF157" s="96">
        <f t="shared" si="98"/>
        <v>5.3703946465153258</v>
      </c>
      <c r="AG157" s="96">
        <f t="shared" si="87"/>
        <v>0.12690101010101007</v>
      </c>
      <c r="AH157" s="96">
        <f t="shared" si="88"/>
        <v>12.206373626373626</v>
      </c>
      <c r="AI157" s="98">
        <f t="shared" si="99"/>
        <v>12.333274636474636</v>
      </c>
      <c r="AJ157" s="97">
        <f t="shared" si="100"/>
        <v>8</v>
      </c>
      <c r="AK157" s="96">
        <f t="shared" si="101"/>
        <v>11.18361650973935</v>
      </c>
      <c r="AL157" s="96">
        <f t="shared" si="102"/>
        <v>0.52</v>
      </c>
      <c r="AM157" s="96">
        <f t="shared" si="89"/>
        <v>4.8104000000000005</v>
      </c>
      <c r="AN157" s="98">
        <f t="shared" si="103"/>
        <v>5.3304000000000009</v>
      </c>
      <c r="AO157" s="97">
        <f t="shared" si="90"/>
        <v>0.11536455463728189</v>
      </c>
      <c r="AP157" s="96">
        <f t="shared" si="91"/>
        <v>0.29025000000000001</v>
      </c>
      <c r="AQ157" s="98">
        <f t="shared" si="104"/>
        <v>8.0999999999999996E-3</v>
      </c>
      <c r="AR157" s="97">
        <f t="shared" si="105"/>
        <v>18.077389191111919</v>
      </c>
      <c r="AS157" s="96">
        <f t="shared" si="106"/>
        <v>96</v>
      </c>
      <c r="AT157" s="98">
        <f t="shared" si="107"/>
        <v>84.153398566277517</v>
      </c>
    </row>
    <row r="158" spans="17:46" x14ac:dyDescent="0.3">
      <c r="Q158" s="32"/>
    </row>
    <row r="159" spans="17:46" x14ac:dyDescent="0.3">
      <c r="Q159" s="32"/>
    </row>
    <row r="160" spans="17:46" x14ac:dyDescent="0.3">
      <c r="Q160" s="32"/>
    </row>
    <row r="161" spans="17:17" x14ac:dyDescent="0.3">
      <c r="Q161" s="32"/>
    </row>
    <row r="162" spans="17:17" x14ac:dyDescent="0.3">
      <c r="Q162" s="32"/>
    </row>
    <row r="163" spans="17:17" x14ac:dyDescent="0.3">
      <c r="Q163" s="32"/>
    </row>
    <row r="164" spans="17:17" x14ac:dyDescent="0.3">
      <c r="Q164" s="32"/>
    </row>
    <row r="165" spans="17:17" x14ac:dyDescent="0.3">
      <c r="Q165" s="32"/>
    </row>
    <row r="166" spans="17:17" x14ac:dyDescent="0.3">
      <c r="Q166" s="32"/>
    </row>
    <row r="167" spans="17:17" x14ac:dyDescent="0.3">
      <c r="Q167" s="32"/>
    </row>
    <row r="168" spans="17:17" x14ac:dyDescent="0.3">
      <c r="Q168" s="32"/>
    </row>
    <row r="169" spans="17:17" x14ac:dyDescent="0.3">
      <c r="Q169" s="32"/>
    </row>
    <row r="170" spans="17:17" x14ac:dyDescent="0.3">
      <c r="Q170" s="32"/>
    </row>
    <row r="171" spans="17:17" x14ac:dyDescent="0.3">
      <c r="Q171" s="32"/>
    </row>
    <row r="172" spans="17:17" x14ac:dyDescent="0.3">
      <c r="Q172" s="32"/>
    </row>
    <row r="173" spans="17:17" x14ac:dyDescent="0.3">
      <c r="Q173" s="32"/>
    </row>
    <row r="174" spans="17:17" x14ac:dyDescent="0.3">
      <c r="Q174" s="32"/>
    </row>
    <row r="175" spans="17:17" x14ac:dyDescent="0.3">
      <c r="Q175" s="32"/>
    </row>
    <row r="176" spans="17:17" x14ac:dyDescent="0.3">
      <c r="Q176" s="32"/>
    </row>
    <row r="177" spans="17:17" x14ac:dyDescent="0.3">
      <c r="Q177" s="32"/>
    </row>
    <row r="178" spans="17:17" x14ac:dyDescent="0.3">
      <c r="Q178" s="32"/>
    </row>
    <row r="179" spans="17:17" x14ac:dyDescent="0.3">
      <c r="Q179" s="32"/>
    </row>
    <row r="180" spans="17:17" x14ac:dyDescent="0.3">
      <c r="Q180" s="32"/>
    </row>
    <row r="181" spans="17:17" x14ac:dyDescent="0.3">
      <c r="Q181" s="32"/>
    </row>
    <row r="182" spans="17:17" x14ac:dyDescent="0.3">
      <c r="Q182" s="32"/>
    </row>
    <row r="183" spans="17:17" x14ac:dyDescent="0.3">
      <c r="Q183" s="32"/>
    </row>
    <row r="184" spans="17:17" x14ac:dyDescent="0.3">
      <c r="Q184" s="32"/>
    </row>
    <row r="185" spans="17:17" x14ac:dyDescent="0.3">
      <c r="Q185" s="32"/>
    </row>
    <row r="186" spans="17:17" x14ac:dyDescent="0.3">
      <c r="Q186" s="32"/>
    </row>
    <row r="187" spans="17:17" x14ac:dyDescent="0.3">
      <c r="Q187" s="32"/>
    </row>
    <row r="188" spans="17:17" x14ac:dyDescent="0.3">
      <c r="Q188" s="32"/>
    </row>
    <row r="189" spans="17:17" x14ac:dyDescent="0.3">
      <c r="Q189" s="32"/>
    </row>
    <row r="190" spans="17:17" x14ac:dyDescent="0.3">
      <c r="Q190" s="32"/>
    </row>
    <row r="191" spans="17:17" x14ac:dyDescent="0.3">
      <c r="Q191" s="32"/>
    </row>
    <row r="192" spans="17:17" x14ac:dyDescent="0.3">
      <c r="Q192" s="32"/>
    </row>
    <row r="193" spans="17:17" x14ac:dyDescent="0.3">
      <c r="Q193" s="32"/>
    </row>
    <row r="194" spans="17:17" x14ac:dyDescent="0.3">
      <c r="Q194" s="32"/>
    </row>
    <row r="195" spans="17:17" x14ac:dyDescent="0.3">
      <c r="Q195" s="32"/>
    </row>
    <row r="196" spans="17:17" x14ac:dyDescent="0.3">
      <c r="Q196" s="32"/>
    </row>
    <row r="197" spans="17:17" x14ac:dyDescent="0.3">
      <c r="Q197" s="32"/>
    </row>
    <row r="198" spans="17:17" x14ac:dyDescent="0.3">
      <c r="Q198" s="32"/>
    </row>
    <row r="199" spans="17:17" x14ac:dyDescent="0.3">
      <c r="Q199" s="32"/>
    </row>
    <row r="200" spans="17:17" x14ac:dyDescent="0.3">
      <c r="Q200" s="32"/>
    </row>
    <row r="201" spans="17:17" x14ac:dyDescent="0.3">
      <c r="Q201" s="32"/>
    </row>
    <row r="202" spans="17:17" x14ac:dyDescent="0.3">
      <c r="Q202" s="32"/>
    </row>
    <row r="203" spans="17:17" x14ac:dyDescent="0.3">
      <c r="Q203" s="32"/>
    </row>
    <row r="204" spans="17:17" x14ac:dyDescent="0.3">
      <c r="Q204" s="32"/>
    </row>
    <row r="205" spans="17:17" x14ac:dyDescent="0.3">
      <c r="Q205" s="32"/>
    </row>
    <row r="206" spans="17:17" x14ac:dyDescent="0.3">
      <c r="Q206" s="32"/>
    </row>
    <row r="207" spans="17:17" x14ac:dyDescent="0.3">
      <c r="Q207" s="32"/>
    </row>
  </sheetData>
  <mergeCells count="8">
    <mergeCell ref="AO5:AQ5"/>
    <mergeCell ref="A1:M1"/>
    <mergeCell ref="R5:U5"/>
    <mergeCell ref="V5:X5"/>
    <mergeCell ref="Y5:AD5"/>
    <mergeCell ref="AE5:AI5"/>
    <mergeCell ref="AJ5:AN5"/>
    <mergeCell ref="Y2:AD2"/>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M708"/>
  <sheetViews>
    <sheetView topLeftCell="W1" zoomScale="85" zoomScaleNormal="85" workbookViewId="0">
      <selection activeCell="BL7" sqref="BL7"/>
    </sheetView>
  </sheetViews>
  <sheetFormatPr defaultRowHeight="14.4" x14ac:dyDescent="0.3"/>
  <cols>
    <col min="1" max="1" width="18.6640625" customWidth="1"/>
    <col min="2" max="2" width="25" customWidth="1"/>
    <col min="8" max="10" width="8.88671875" style="32"/>
    <col min="15" max="15" width="16.5546875" style="52" bestFit="1" customWidth="1"/>
    <col min="16" max="16" width="16.5546875" customWidth="1"/>
    <col min="29" max="29" width="8.88671875" style="32"/>
    <col min="32" max="37" width="8.6640625" style="32"/>
    <col min="38" max="38" width="11.44140625" style="32" bestFit="1" customWidth="1"/>
    <col min="39" max="40" width="8.6640625" style="32"/>
    <col min="41" max="41" width="13.109375" style="32" bestFit="1" customWidth="1"/>
    <col min="42" max="44" width="8.6640625" style="32"/>
    <col min="46" max="46" width="10.109375" customWidth="1"/>
    <col min="47" max="47" width="12" bestFit="1" customWidth="1"/>
    <col min="55" max="55" width="8.88671875" style="32"/>
    <col min="58" max="58" width="8.88671875" style="32"/>
  </cols>
  <sheetData>
    <row r="1" spans="1:65" s="32" customFormat="1" ht="28.2" x14ac:dyDescent="0.5">
      <c r="A1" s="235" t="s">
        <v>15</v>
      </c>
      <c r="B1" s="235"/>
      <c r="C1" s="235"/>
      <c r="D1" s="235"/>
      <c r="E1" s="235"/>
      <c r="F1" s="235"/>
      <c r="G1" s="235"/>
      <c r="H1" s="235"/>
      <c r="I1" s="235"/>
      <c r="J1" s="235"/>
      <c r="K1" s="235"/>
      <c r="L1" s="235"/>
      <c r="M1" s="235"/>
      <c r="N1" s="235" t="s">
        <v>191</v>
      </c>
      <c r="O1" s="235"/>
      <c r="P1" s="235"/>
      <c r="Q1" s="235"/>
      <c r="R1" s="235"/>
      <c r="S1" s="235"/>
      <c r="T1" s="235"/>
      <c r="U1" s="235"/>
      <c r="V1" s="235"/>
      <c r="W1" s="235"/>
      <c r="X1" s="235"/>
    </row>
    <row r="2" spans="1:65" s="32" customFormat="1" x14ac:dyDescent="0.3">
      <c r="A2" s="12"/>
      <c r="B2" s="12" t="s">
        <v>16</v>
      </c>
      <c r="C2" s="13"/>
      <c r="D2" s="18"/>
      <c r="E2" s="12"/>
      <c r="F2" s="12"/>
      <c r="G2" s="12"/>
      <c r="H2" s="12"/>
      <c r="I2" s="12"/>
      <c r="J2" s="12"/>
      <c r="K2" s="12"/>
      <c r="L2" s="12"/>
      <c r="M2" s="12"/>
      <c r="AF2" s="256" t="s">
        <v>584</v>
      </c>
      <c r="AG2" s="256"/>
      <c r="AH2" s="256"/>
      <c r="AI2" s="256"/>
      <c r="AJ2" s="256"/>
      <c r="AK2" s="256"/>
      <c r="AL2" s="256"/>
      <c r="AM2" s="256"/>
      <c r="AN2" s="256"/>
      <c r="AO2" s="256"/>
      <c r="AP2" s="256"/>
      <c r="AQ2" s="256"/>
      <c r="AR2" s="256"/>
    </row>
    <row r="3" spans="1:65" s="32" customFormat="1" ht="15" thickBot="1" x14ac:dyDescent="0.35">
      <c r="A3" s="12"/>
      <c r="B3" s="12" t="s">
        <v>17</v>
      </c>
      <c r="C3" s="14"/>
      <c r="D3" s="18"/>
      <c r="E3" s="12"/>
      <c r="F3" s="24"/>
      <c r="G3" s="25"/>
      <c r="H3" s="25"/>
      <c r="I3" s="25"/>
      <c r="J3" s="25"/>
      <c r="K3" s="40"/>
      <c r="L3" s="12"/>
      <c r="M3" s="12"/>
      <c r="O3" s="32" t="s">
        <v>504</v>
      </c>
    </row>
    <row r="4" spans="1:65" s="32" customFormat="1" ht="15" thickBot="1" x14ac:dyDescent="0.35">
      <c r="A4" s="12"/>
      <c r="B4" s="12" t="s">
        <v>18</v>
      </c>
      <c r="C4" s="15"/>
      <c r="D4" s="18"/>
      <c r="E4" s="12"/>
      <c r="F4" s="24"/>
      <c r="G4" s="25"/>
      <c r="H4" s="25"/>
      <c r="I4" s="25"/>
      <c r="J4" s="25"/>
      <c r="K4" s="40"/>
      <c r="L4" s="12"/>
      <c r="M4" s="12"/>
      <c r="N4" s="86"/>
      <c r="O4" s="92"/>
      <c r="P4" s="246" t="s">
        <v>222</v>
      </c>
      <c r="Q4" s="246"/>
      <c r="R4" s="246"/>
      <c r="S4" s="246"/>
      <c r="T4" s="246"/>
      <c r="U4" s="246"/>
      <c r="V4" s="246"/>
      <c r="W4" s="246"/>
      <c r="X4" s="246"/>
      <c r="Y4" s="246"/>
      <c r="Z4" s="246"/>
      <c r="AA4" s="246"/>
      <c r="AB4" s="246"/>
      <c r="AC4" s="246"/>
      <c r="AD4" s="246"/>
      <c r="AE4" s="247"/>
      <c r="AF4" s="218"/>
      <c r="AG4" s="218"/>
      <c r="AH4" s="218"/>
      <c r="AI4" s="218"/>
      <c r="AJ4" s="218"/>
      <c r="AK4" s="218"/>
      <c r="AL4" s="218"/>
      <c r="AM4" s="218"/>
      <c r="AN4" s="218"/>
      <c r="AO4" s="218"/>
      <c r="AP4" s="218"/>
      <c r="AQ4" s="218"/>
      <c r="AR4" s="218"/>
      <c r="AS4" s="245" t="s">
        <v>223</v>
      </c>
      <c r="AT4" s="246"/>
      <c r="AU4" s="246"/>
      <c r="AV4" s="246"/>
      <c r="AW4" s="246"/>
      <c r="AX4" s="246"/>
      <c r="AY4" s="246"/>
      <c r="AZ4" s="246"/>
      <c r="BA4" s="246"/>
      <c r="BB4" s="246"/>
      <c r="BC4" s="246"/>
      <c r="BD4" s="246"/>
      <c r="BE4" s="247"/>
      <c r="BF4" s="245" t="s">
        <v>506</v>
      </c>
      <c r="BG4" s="246"/>
      <c r="BH4" s="247"/>
      <c r="BI4" s="245" t="s">
        <v>507</v>
      </c>
      <c r="BJ4" s="246"/>
      <c r="BK4" s="247"/>
      <c r="BL4" s="254" t="s">
        <v>508</v>
      </c>
      <c r="BM4" s="255"/>
    </row>
    <row r="5" spans="1:65" s="32" customFormat="1" x14ac:dyDescent="0.3">
      <c r="A5" s="12"/>
      <c r="D5" s="18"/>
      <c r="E5" s="12"/>
      <c r="F5" s="12"/>
      <c r="G5" s="12"/>
      <c r="H5" s="12"/>
      <c r="I5" s="12"/>
      <c r="J5" s="12"/>
      <c r="K5" s="12"/>
      <c r="L5" s="12"/>
      <c r="M5" s="12"/>
      <c r="N5" s="60"/>
      <c r="O5" s="63"/>
      <c r="P5" s="51"/>
      <c r="Q5" s="248" t="s">
        <v>214</v>
      </c>
      <c r="R5" s="248"/>
      <c r="S5" s="248"/>
      <c r="T5" s="244" t="s">
        <v>216</v>
      </c>
      <c r="U5" s="244"/>
      <c r="V5" s="244"/>
      <c r="W5" s="244" t="s">
        <v>216</v>
      </c>
      <c r="X5" s="244"/>
      <c r="Y5" s="244"/>
      <c r="Z5" s="244" t="s">
        <v>219</v>
      </c>
      <c r="AA5" s="244"/>
      <c r="AB5" s="244"/>
      <c r="AC5" s="252" t="s">
        <v>221</v>
      </c>
      <c r="AD5" s="244"/>
      <c r="AE5" s="253"/>
      <c r="AF5" s="217"/>
      <c r="AG5" s="248" t="s">
        <v>214</v>
      </c>
      <c r="AH5" s="248"/>
      <c r="AI5" s="248"/>
      <c r="AJ5" s="249" t="s">
        <v>216</v>
      </c>
      <c r="AK5" s="249"/>
      <c r="AL5" s="249"/>
      <c r="AM5" s="244" t="s">
        <v>258</v>
      </c>
      <c r="AN5" s="244"/>
      <c r="AO5" s="244"/>
      <c r="AP5" s="250" t="s">
        <v>221</v>
      </c>
      <c r="AQ5" s="249"/>
      <c r="AR5" s="251"/>
      <c r="AS5" s="51"/>
      <c r="AT5" s="244" t="s">
        <v>229</v>
      </c>
      <c r="AU5" s="244"/>
      <c r="AV5" s="244"/>
      <c r="AW5" s="244" t="s">
        <v>230</v>
      </c>
      <c r="AX5" s="244"/>
      <c r="AY5" s="244"/>
      <c r="AZ5" s="244" t="s">
        <v>224</v>
      </c>
      <c r="BA5" s="244"/>
      <c r="BB5" s="244"/>
      <c r="BC5" s="252" t="s">
        <v>221</v>
      </c>
      <c r="BD5" s="244"/>
      <c r="BE5" s="253"/>
      <c r="BF5" s="252" t="s">
        <v>221</v>
      </c>
      <c r="BG5" s="244"/>
      <c r="BH5" s="253"/>
      <c r="BI5" s="252" t="s">
        <v>221</v>
      </c>
      <c r="BJ5" s="244"/>
      <c r="BK5" s="253"/>
      <c r="BL5" s="252" t="s">
        <v>221</v>
      </c>
      <c r="BM5" s="243"/>
    </row>
    <row r="6" spans="1:65" s="32" customFormat="1" ht="15" thickBot="1" x14ac:dyDescent="0.35">
      <c r="A6" s="11" t="s">
        <v>19</v>
      </c>
      <c r="B6" s="11" t="s">
        <v>20</v>
      </c>
      <c r="C6" s="11" t="s">
        <v>21</v>
      </c>
      <c r="D6" s="18"/>
      <c r="E6" s="236" t="s">
        <v>22</v>
      </c>
      <c r="F6" s="236"/>
      <c r="G6" s="236"/>
      <c r="H6" s="236"/>
      <c r="I6" s="236"/>
      <c r="J6" s="236"/>
      <c r="K6" s="236"/>
      <c r="L6" s="36"/>
      <c r="M6" s="26"/>
      <c r="N6" s="60"/>
      <c r="O6" s="63"/>
      <c r="P6" s="81" t="s">
        <v>197</v>
      </c>
      <c r="Q6" s="51" t="s">
        <v>220</v>
      </c>
      <c r="R6" s="81" t="s">
        <v>217</v>
      </c>
      <c r="S6" s="81" t="s">
        <v>218</v>
      </c>
      <c r="T6" s="81" t="s">
        <v>220</v>
      </c>
      <c r="U6" s="81" t="s">
        <v>217</v>
      </c>
      <c r="V6" s="81" t="s">
        <v>218</v>
      </c>
      <c r="W6" s="83" t="s">
        <v>220</v>
      </c>
      <c r="X6" s="81" t="s">
        <v>217</v>
      </c>
      <c r="Y6" s="81" t="s">
        <v>218</v>
      </c>
      <c r="Z6" s="83" t="s">
        <v>220</v>
      </c>
      <c r="AA6" s="83" t="s">
        <v>217</v>
      </c>
      <c r="AB6" s="83" t="s">
        <v>218</v>
      </c>
      <c r="AC6" s="84" t="s">
        <v>233</v>
      </c>
      <c r="AD6" s="83" t="s">
        <v>217</v>
      </c>
      <c r="AE6" s="85" t="s">
        <v>218</v>
      </c>
      <c r="AF6" s="225" t="s">
        <v>197</v>
      </c>
      <c r="AG6" s="224" t="s">
        <v>220</v>
      </c>
      <c r="AH6" s="224" t="s">
        <v>232</v>
      </c>
      <c r="AI6" s="224" t="s">
        <v>218</v>
      </c>
      <c r="AJ6" s="224" t="s">
        <v>220</v>
      </c>
      <c r="AK6" s="224" t="s">
        <v>232</v>
      </c>
      <c r="AL6" s="224" t="s">
        <v>218</v>
      </c>
      <c r="AM6" s="224" t="s">
        <v>220</v>
      </c>
      <c r="AN6" s="224" t="s">
        <v>232</v>
      </c>
      <c r="AO6" s="224" t="s">
        <v>218</v>
      </c>
      <c r="AP6" s="62" t="s">
        <v>233</v>
      </c>
      <c r="AQ6" s="58" t="s">
        <v>217</v>
      </c>
      <c r="AR6" s="59" t="s">
        <v>218</v>
      </c>
      <c r="AS6" s="81" t="s">
        <v>231</v>
      </c>
      <c r="AT6" s="83" t="s">
        <v>220</v>
      </c>
      <c r="AU6" s="83" t="s">
        <v>232</v>
      </c>
      <c r="AV6" s="83" t="s">
        <v>218</v>
      </c>
      <c r="AW6" s="83" t="s">
        <v>220</v>
      </c>
      <c r="AX6" s="83" t="s">
        <v>232</v>
      </c>
      <c r="AY6" s="83" t="s">
        <v>218</v>
      </c>
      <c r="AZ6" s="83" t="s">
        <v>220</v>
      </c>
      <c r="BA6" s="83" t="s">
        <v>232</v>
      </c>
      <c r="BB6" s="83" t="s">
        <v>218</v>
      </c>
      <c r="BC6" s="84" t="s">
        <v>233</v>
      </c>
      <c r="BD6" s="83" t="s">
        <v>217</v>
      </c>
      <c r="BE6" s="85" t="s">
        <v>218</v>
      </c>
      <c r="BF6" s="84" t="s">
        <v>233</v>
      </c>
      <c r="BG6" s="83" t="s">
        <v>217</v>
      </c>
      <c r="BH6" s="85" t="s">
        <v>218</v>
      </c>
      <c r="BI6" s="84" t="s">
        <v>233</v>
      </c>
      <c r="BJ6" s="83" t="s">
        <v>217</v>
      </c>
      <c r="BK6" s="85" t="s">
        <v>218</v>
      </c>
      <c r="BL6" s="83" t="s">
        <v>217</v>
      </c>
      <c r="BM6" s="83" t="s">
        <v>218</v>
      </c>
    </row>
    <row r="7" spans="1:65" s="32" customFormat="1" ht="15" thickBot="1" x14ac:dyDescent="0.35">
      <c r="A7" s="11"/>
      <c r="B7" s="11"/>
      <c r="C7" s="11"/>
      <c r="D7" s="18"/>
      <c r="E7" s="47"/>
      <c r="F7" s="47"/>
      <c r="G7" s="47"/>
      <c r="H7" s="47"/>
      <c r="I7" s="47"/>
      <c r="J7" s="47"/>
      <c r="K7" s="47"/>
      <c r="L7" s="47"/>
      <c r="M7" s="26"/>
      <c r="N7" s="32" t="s">
        <v>408</v>
      </c>
      <c r="O7" s="92">
        <f>fcross</f>
        <v>3500</v>
      </c>
      <c r="P7" s="88" t="str">
        <f>COMPLEX(ADC_VINmin,0)</f>
        <v>13.59375</v>
      </c>
      <c r="Q7" s="89" t="str">
        <f>IMSUM(COMPLEX(1,0),IMDIV(COMPLEX(0,2*PI()*O7),COMPLEX(wp_lf_VINmin,0)))</f>
        <v>1+10.3083508945915i</v>
      </c>
      <c r="R7" s="89">
        <f t="shared" ref="R7:R13" si="0">IMABS(Q7)</f>
        <v>10.356741677092531</v>
      </c>
      <c r="S7" s="89">
        <f t="shared" ref="S7:S13" si="1">IMARGUMENT(Q7)</f>
        <v>1.4740901992572804</v>
      </c>
      <c r="T7" s="89" t="str">
        <f>IMSUM(COMPLEX(1,0),IMDIV(COMPLEX(0,2*PI()*O7),COMPLEX(wz_esr_VINmin,0)))</f>
        <v>1+0.0219911485751286i</v>
      </c>
      <c r="U7" s="89">
        <f t="shared" ref="U7:U13" si="2">IMABS(T7)</f>
        <v>1.0002417760799902</v>
      </c>
      <c r="V7" s="89">
        <f t="shared" ref="V7:V13" si="3">IMARGUMENT(T7)</f>
        <v>2.1987604552460852E-2</v>
      </c>
      <c r="W7" s="87" t="str">
        <f>IMSUB(COMPLEX(1,0),IMDIV(COMPLEX(0,2*PI()*O7),COMPLEX(wz_RHP_VINmin,0)))</f>
        <v>1-0.181426975744811i</v>
      </c>
      <c r="X7" s="89">
        <f t="shared" ref="X7:X13" si="4">IMABS(W7)</f>
        <v>1.0163246270399573</v>
      </c>
      <c r="Y7" s="89">
        <f t="shared" ref="Y7:Y13" si="5">IMARGUMENT(W7)</f>
        <v>-0.17947478625627339</v>
      </c>
      <c r="Z7" s="87" t="str">
        <f>IMSUM(COMPLEX(1,0),IMDIV(COMPLEX(0,2*PI()*O7),COMPLEX(Q_VINmin*(wsl_VINmin/2),0)),IMDIV(IMPOWER(COMPLEX(0,2*PI()*O7),2),IMPOWER(COMPLEX(wsl_VINmin/2,0),2)))</f>
        <v>0.999951+0.0340772089426621i</v>
      </c>
      <c r="AA7" s="89">
        <f t="shared" ref="AA7:AA13" si="6">IMABS(Z7)</f>
        <v>1.0005314880453897</v>
      </c>
      <c r="AB7" s="89">
        <f t="shared" ref="AB7:AB13" si="7">IMARGUMENT(Z7)</f>
        <v>3.4065695264146031E-2</v>
      </c>
      <c r="AC7" s="90" t="str">
        <f t="shared" ref="AC7:AC13" si="8">(IMDIV(IMPRODUCT(P7,T7,W7),IMPRODUCT(Q7,Z7)))</f>
        <v>-0.126297258321384-1.32759754381107i</v>
      </c>
      <c r="AD7" s="91">
        <f t="shared" ref="AD7:AD13" si="9">20*LOG(IMABS(AC7))</f>
        <v>2.5004562451301853</v>
      </c>
      <c r="AE7" s="92">
        <f t="shared" ref="AE7:AE13" si="10">(180/PI())*IMARGUMENT(AC7)</f>
        <v>-95.434318442893428</v>
      </c>
      <c r="AF7" s="51" t="e">
        <f>COMPLEX($B$68,0)</f>
        <v>#NUM!</v>
      </c>
      <c r="AG7" s="51" t="str">
        <f t="shared" ref="AG7:AG13" si="11">IMSUM(COMPLEX(1,0),IMDIV(COMPLEX(0,2*PI()*O7),COMPLEX(wp_lf_DCM,0)))</f>
        <v>1-16.4933614313465i</v>
      </c>
      <c r="AH7" s="51">
        <f>IMABS(AG7)</f>
        <v>16.52364884960426</v>
      </c>
      <c r="AI7" s="51">
        <f>IMARGUMENT(AG7)</f>
        <v>-1.5102400024166698</v>
      </c>
      <c r="AJ7" s="51" t="str">
        <f t="shared" ref="AJ7:AJ13" si="12">IMSUM(COMPLEX(1,0),IMDIV(COMPLEX(0,2*PI()*O7),COMPLEX(wz1_dcm,0)))</f>
        <v>1+0.0219911485751286i</v>
      </c>
      <c r="AK7" s="51">
        <f>IMABS(AJ7)</f>
        <v>1.0002417760799902</v>
      </c>
      <c r="AL7" s="51">
        <f>IMARGUMENT(AJ7)</f>
        <v>2.1987604552460852E-2</v>
      </c>
      <c r="AM7" s="51" t="e">
        <f t="shared" ref="AM7:AM13" si="13">IMSUB(COMPLEX(1,0),IMDIV(COMPLEX(0,2*PI()*O7),COMPLEX(wz2_dcm,0)))</f>
        <v>#NUM!</v>
      </c>
      <c r="AN7" s="51" t="e">
        <f>IMABS(AM7)</f>
        <v>#NUM!</v>
      </c>
      <c r="AO7" s="51" t="e">
        <f>IMARGUMENT(AM7)</f>
        <v>#NUM!</v>
      </c>
      <c r="AP7" s="60" t="e">
        <f>(IMDIV(IMPRODUCT(AF7,AJ7,AM7),IMPRODUCT(AG7)))</f>
        <v>#NUM!</v>
      </c>
      <c r="AQ7" s="51" t="e">
        <f>20*LOG(IMABS(AP7))</f>
        <v>#NUM!</v>
      </c>
      <c r="AR7" s="63" t="e">
        <f>(180/PI())*IMARGUMENT(AP7)</f>
        <v>#NUM!</v>
      </c>
      <c r="AS7" s="87" t="str">
        <f t="shared" ref="AS7:AS13" si="14">COMPLEX(Adc_ea,0)</f>
        <v>-0.000170731707317073</v>
      </c>
      <c r="AT7" s="87" t="str">
        <f t="shared" ref="AT7:AT13" si="15">COMPLEX(0,2*PI()*O7*wp0_ea)</f>
        <v>0.000835663645854885i</v>
      </c>
      <c r="AU7" s="87">
        <f t="shared" ref="AU7:AU13" si="16">IMABS(AT7)</f>
        <v>8.3566364585488503E-4</v>
      </c>
      <c r="AV7" s="87">
        <f t="shared" ref="AV7:AV13" si="17">IMARGUMENT(AT7)</f>
        <v>1.5707963267948966</v>
      </c>
      <c r="AW7" s="87" t="str">
        <f t="shared" ref="AW7:AW13" si="18">IMSUM(COMPLEX(1,0),IMDIV(COMPLEX(0,2*PI()*O7),COMPLEX(wp1_ea,0)))</f>
        <v>1+0.177919966261514i</v>
      </c>
      <c r="AX7" s="87">
        <f t="shared" ref="AX7:AX13" si="19">IMABS(AW7)</f>
        <v>1.0157044424410568</v>
      </c>
      <c r="AY7" s="87">
        <f t="shared" ref="AY7:AY13" si="20">IMARGUMENT(AW7)</f>
        <v>0.17607745437669045</v>
      </c>
      <c r="AZ7" s="87" t="str">
        <f t="shared" ref="AZ7:AZ13" si="21">IMSUM(COMPLEX(1,0),IMDIV(COMPLEX(0,2*PI()*O7),COMPLEX(wz_ea,0)))</f>
        <v>1+3.38047935896877i</v>
      </c>
      <c r="BA7" s="87">
        <f t="shared" ref="BA7:BA13" si="22">IMABS(AZ7)</f>
        <v>3.5252859027905679</v>
      </c>
      <c r="BB7" s="87">
        <f t="shared" ref="BB7:BB13" si="23">IMARGUMENT(AZ7)</f>
        <v>1.2831824388208179</v>
      </c>
      <c r="BC7" s="86" t="str">
        <f t="shared" ref="BC7:BC13" si="24">IMPRODUCT(AS7,IMDIV(AZ7,IMPRODUCT(AT7,AW7)))</f>
        <v>-0.634227636803058+0.317148490283706i</v>
      </c>
      <c r="BD7" s="87">
        <f t="shared" ref="BD7:BD13" si="25">20*LOG(IMABS(BC7))</f>
        <v>-2.9858066737303481</v>
      </c>
      <c r="BE7" s="92">
        <f t="shared" ref="BE7:BE13" si="26">(180/PI())*IMARGUMENT(BC7)</f>
        <v>153.43244308654513</v>
      </c>
      <c r="BF7" s="86" t="str">
        <f t="shared" ref="BF7:BF13" si="27">IMPRODUCT(AC7,BC7)</f>
        <v>0.501146768403914+0.801944068033241i</v>
      </c>
      <c r="BG7" s="91">
        <f t="shared" ref="BG7:BG13" si="28">20*LOG(IMABS(BF7))</f>
        <v>-0.48535042860016303</v>
      </c>
      <c r="BH7" s="92">
        <f t="shared" ref="BH7:BH13" si="29">(180/PI())*IMARGUMENT(BF7)</f>
        <v>57.998124643651678</v>
      </c>
      <c r="BI7" s="86" t="e">
        <f>IMPRODUCT(AP7,BC7)</f>
        <v>#NUM!</v>
      </c>
      <c r="BJ7" s="91" t="e">
        <f t="shared" ref="BJ7:BJ13" si="30">20*LOG(IMABS(BI7))</f>
        <v>#NUM!</v>
      </c>
      <c r="BK7" s="92" t="e">
        <f t="shared" ref="BK7:BK13" si="31">(180/PI())*IMARGUMENT(BI7)</f>
        <v>#NUM!</v>
      </c>
      <c r="BL7" s="32">
        <f>IF($B$31=0,BJ7,BG7)</f>
        <v>-0.48535042860016303</v>
      </c>
      <c r="BM7" s="32">
        <f>IF($B$31=0,BK7,BH7)</f>
        <v>57.998124643651678</v>
      </c>
    </row>
    <row r="8" spans="1:65" s="32" customFormat="1" ht="15" thickBot="1" x14ac:dyDescent="0.35">
      <c r="A8" s="11"/>
      <c r="B8" s="11"/>
      <c r="C8" s="11"/>
      <c r="D8" s="18"/>
      <c r="E8" s="104"/>
      <c r="F8" s="104"/>
      <c r="G8" s="104"/>
      <c r="H8" s="104"/>
      <c r="I8" s="104"/>
      <c r="J8" s="104"/>
      <c r="K8" s="104"/>
      <c r="L8" s="104"/>
      <c r="M8" s="26"/>
      <c r="N8" s="86" t="s">
        <v>257</v>
      </c>
      <c r="O8" s="92">
        <f>fcross</f>
        <v>3500</v>
      </c>
      <c r="P8" s="88" t="str">
        <f t="shared" ref="P8:P13" si="32">COMPLEX(Adc,0)</f>
        <v>23.3035714285714</v>
      </c>
      <c r="Q8" s="89" t="str">
        <f t="shared" ref="Q8:Q13" si="33">IMSUM(COMPLEX(1,0),IMDIV(COMPLEX(0,2*PI()*O8),COMPLEX(wp_lf,0)))</f>
        <v>1+11.7809724509617i</v>
      </c>
      <c r="R8" s="89">
        <f t="shared" si="0"/>
        <v>11.823337595210521</v>
      </c>
      <c r="S8" s="89">
        <f t="shared" si="1"/>
        <v>1.4861166752394657</v>
      </c>
      <c r="T8" s="89" t="str">
        <f t="shared" ref="T8:T13" si="34">IMSUM(COMPLEX(1,0),IMDIV(COMPLEX(0,2*PI()*O8),COMPLEX(wz_esr,0)))</f>
        <v>1+0.0219911485751286i</v>
      </c>
      <c r="U8" s="89">
        <f t="shared" si="2"/>
        <v>1.0002417760799902</v>
      </c>
      <c r="V8" s="89">
        <f t="shared" si="3"/>
        <v>2.1987604552460852E-2</v>
      </c>
      <c r="W8" s="87" t="str">
        <f t="shared" ref="W8:W13" si="35">IMSUB(COMPLEX(1,0),IMDIV(COMPLEX(0,2*PI()*O8),COMPLEX(wz_rhp,0)))</f>
        <v>1-0.0537561409614255i</v>
      </c>
      <c r="X8" s="89">
        <f t="shared" si="4"/>
        <v>1.001443819038824</v>
      </c>
      <c r="Y8" s="89">
        <f t="shared" si="5"/>
        <v>-5.3704450441192299E-2</v>
      </c>
      <c r="Z8" s="87" t="str">
        <f t="shared" ref="Z8:Z13" si="36">IMSUM(COMPLEX(1,0),IMDIV(COMPLEX(0,2*PI()*O8),COMPLEX(Q*(wsl/2),0)),IMDIV(IMPOWER(COMPLEX(0,2*PI()*O8),2),IMPOWER(COMPLEX(wsl/2,0),2)))</f>
        <v>0.999951+0.0263833307242962i</v>
      </c>
      <c r="AA8" s="89">
        <f t="shared" si="6"/>
        <v>1.0002989965710791</v>
      </c>
      <c r="AB8" s="89">
        <f t="shared" si="7"/>
        <v>2.6378503589412298E-2</v>
      </c>
      <c r="AC8" s="90" t="str">
        <f t="shared" si="8"/>
        <v>0.0524636193680664-1.97301623770528i</v>
      </c>
      <c r="AD8" s="91">
        <f t="shared" si="9"/>
        <v>5.9056828190231316</v>
      </c>
      <c r="AE8" s="92">
        <f t="shared" si="10"/>
        <v>-88.476831689670576</v>
      </c>
      <c r="AF8" s="51" t="e">
        <f t="shared" ref="AF8:AF13" si="37">COMPLEX($B$68,0)</f>
        <v>#NUM!</v>
      </c>
      <c r="AG8" s="51" t="str">
        <f t="shared" si="11"/>
        <v>1-16.4933614313465i</v>
      </c>
      <c r="AH8" s="51">
        <f t="shared" ref="AH8:AH13" si="38">IMABS(AG8)</f>
        <v>16.52364884960426</v>
      </c>
      <c r="AI8" s="51">
        <f t="shared" ref="AI8:AI13" si="39">IMARGUMENT(AG8)</f>
        <v>-1.5102400024166698</v>
      </c>
      <c r="AJ8" s="51" t="str">
        <f t="shared" si="12"/>
        <v>1+0.0219911485751286i</v>
      </c>
      <c r="AK8" s="51">
        <f t="shared" ref="AK8:AK13" si="40">IMABS(AJ8)</f>
        <v>1.0002417760799902</v>
      </c>
      <c r="AL8" s="51">
        <f t="shared" ref="AL8:AL13" si="41">IMARGUMENT(AJ8)</f>
        <v>2.1987604552460852E-2</v>
      </c>
      <c r="AM8" s="51" t="e">
        <f t="shared" si="13"/>
        <v>#NUM!</v>
      </c>
      <c r="AN8" s="51" t="e">
        <f t="shared" ref="AN8:AN13" si="42">IMABS(AM8)</f>
        <v>#NUM!</v>
      </c>
      <c r="AO8" s="51" t="e">
        <f t="shared" ref="AO8:AO13" si="43">IMARGUMENT(AM8)</f>
        <v>#NUM!</v>
      </c>
      <c r="AP8" s="60" t="e">
        <f t="shared" ref="AP8:AP13" si="44">(IMDIV(IMPRODUCT(AF8,AJ8,AM8),IMPRODUCT(AG8)))</f>
        <v>#NUM!</v>
      </c>
      <c r="AQ8" s="51" t="e">
        <f t="shared" ref="AQ8:AQ13" si="45">20*LOG(IMABS(AP8))</f>
        <v>#NUM!</v>
      </c>
      <c r="AR8" s="63" t="e">
        <f t="shared" ref="AR8:AR13" si="46">(180/PI())*IMARGUMENT(AP8)</f>
        <v>#NUM!</v>
      </c>
      <c r="AS8" s="87" t="str">
        <f t="shared" si="14"/>
        <v>-0.000170731707317073</v>
      </c>
      <c r="AT8" s="87" t="str">
        <f t="shared" si="15"/>
        <v>0.000835663645854885i</v>
      </c>
      <c r="AU8" s="87">
        <f t="shared" si="16"/>
        <v>8.3566364585488503E-4</v>
      </c>
      <c r="AV8" s="87">
        <f t="shared" si="17"/>
        <v>1.5707963267948966</v>
      </c>
      <c r="AW8" s="87" t="str">
        <f t="shared" si="18"/>
        <v>1+0.177919966261514i</v>
      </c>
      <c r="AX8" s="87">
        <f t="shared" si="19"/>
        <v>1.0157044424410568</v>
      </c>
      <c r="AY8" s="87">
        <f t="shared" si="20"/>
        <v>0.17607745437669045</v>
      </c>
      <c r="AZ8" s="87" t="str">
        <f t="shared" si="21"/>
        <v>1+3.38047935896877i</v>
      </c>
      <c r="BA8" s="87">
        <f t="shared" si="22"/>
        <v>3.5252859027905679</v>
      </c>
      <c r="BB8" s="87">
        <f t="shared" si="23"/>
        <v>1.2831824388208179</v>
      </c>
      <c r="BC8" s="86" t="str">
        <f t="shared" si="24"/>
        <v>-0.634227636803058+0.317148490283706i</v>
      </c>
      <c r="BD8" s="87">
        <f t="shared" si="25"/>
        <v>-2.9858066737303481</v>
      </c>
      <c r="BE8" s="92">
        <f t="shared" si="26"/>
        <v>153.43244308654513</v>
      </c>
      <c r="BF8" s="86" t="str">
        <f t="shared" si="27"/>
        <v>0.592465243763523+1.26798018349128i</v>
      </c>
      <c r="BG8" s="91">
        <f t="shared" si="28"/>
        <v>2.9198761452927746</v>
      </c>
      <c r="BH8" s="92">
        <f t="shared" si="29"/>
        <v>64.955611396874531</v>
      </c>
      <c r="BI8" s="86" t="e">
        <f t="shared" ref="BI8:BI13" si="47">IMPRODUCT(AP8,BC8)</f>
        <v>#NUM!</v>
      </c>
      <c r="BJ8" s="91" t="e">
        <f t="shared" si="30"/>
        <v>#NUM!</v>
      </c>
      <c r="BK8" s="92" t="e">
        <f t="shared" si="31"/>
        <v>#NUM!</v>
      </c>
      <c r="BL8" s="32">
        <f t="shared" ref="BL8:BL13" si="48">IF($B$31=0,BJ8,BG8)</f>
        <v>2.9198761452927746</v>
      </c>
      <c r="BM8" s="32">
        <f t="shared" ref="BM8:BM13" si="49">IF($B$31=0,BK8,BH8)</f>
        <v>64.955611396874531</v>
      </c>
    </row>
    <row r="9" spans="1:65" s="32" customFormat="1" ht="15" thickBot="1" x14ac:dyDescent="0.35">
      <c r="A9" s="71" t="s">
        <v>166</v>
      </c>
      <c r="B9" s="11"/>
      <c r="C9" s="11"/>
      <c r="D9" s="18"/>
      <c r="E9" s="36"/>
      <c r="F9" s="36"/>
      <c r="G9" s="36"/>
      <c r="H9" s="47"/>
      <c r="I9" s="47"/>
      <c r="J9" s="47"/>
      <c r="K9" s="36"/>
      <c r="L9" s="36"/>
      <c r="M9" s="26"/>
      <c r="N9" s="73" t="s">
        <v>258</v>
      </c>
      <c r="O9" s="93">
        <f>IF($B$31=0,B74,wz_rhp/(2*PI()))</f>
        <v>65108.84035577537</v>
      </c>
      <c r="P9" s="74" t="str">
        <f t="shared" si="32"/>
        <v>23.3035714285714</v>
      </c>
      <c r="Q9" s="75" t="str">
        <f t="shared" si="33"/>
        <v>1+219.155844155844i</v>
      </c>
      <c r="R9" s="75">
        <f t="shared" si="0"/>
        <v>219.15812562545011</v>
      </c>
      <c r="S9" s="75">
        <f t="shared" si="1"/>
        <v>1.5662333954994607</v>
      </c>
      <c r="T9" s="75" t="str">
        <f t="shared" si="34"/>
        <v>1+0.409090909090909i</v>
      </c>
      <c r="U9" s="75">
        <f t="shared" si="2"/>
        <v>1.0804422112731555</v>
      </c>
      <c r="V9" s="75">
        <f t="shared" si="3"/>
        <v>0.38831871817246594</v>
      </c>
      <c r="W9" s="76" t="str">
        <f t="shared" si="35"/>
        <v>1-i</v>
      </c>
      <c r="X9" s="75">
        <f t="shared" si="4"/>
        <v>1.4142135623730951</v>
      </c>
      <c r="Y9" s="75">
        <f t="shared" si="5"/>
        <v>-0.78539816339744828</v>
      </c>
      <c r="Z9" s="76" t="str">
        <f t="shared" si="36"/>
        <v>0.983043355630105+0.490796590909091i</v>
      </c>
      <c r="AA9" s="75">
        <f t="shared" si="6"/>
        <v>1.098751806686334</v>
      </c>
      <c r="AB9" s="75">
        <f t="shared" si="7"/>
        <v>0.46305735970315659</v>
      </c>
      <c r="AC9" s="77" t="str">
        <f t="shared" si="8"/>
        <v>-0.111634524606924-0.0969713790612646i</v>
      </c>
      <c r="AD9" s="78">
        <f t="shared" si="9"/>
        <v>-16.6023630806955</v>
      </c>
      <c r="AE9" s="79">
        <f t="shared" si="10"/>
        <v>-139.02077202081298</v>
      </c>
      <c r="AF9" s="51" t="e">
        <f t="shared" si="37"/>
        <v>#NUM!</v>
      </c>
      <c r="AG9" s="51" t="str">
        <f t="shared" si="11"/>
        <v>1-306.818181818182i</v>
      </c>
      <c r="AH9" s="51">
        <f t="shared" si="38"/>
        <v>306.81981144348384</v>
      </c>
      <c r="AI9" s="51">
        <f t="shared" si="39"/>
        <v>-1.5675370790763519</v>
      </c>
      <c r="AJ9" s="51" t="str">
        <f t="shared" si="12"/>
        <v>1+0.409090909090909i</v>
      </c>
      <c r="AK9" s="51">
        <f t="shared" si="40"/>
        <v>1.0804422112731555</v>
      </c>
      <c r="AL9" s="51">
        <f t="shared" si="41"/>
        <v>0.38831871817246594</v>
      </c>
      <c r="AM9" s="51" t="e">
        <f t="shared" si="13"/>
        <v>#NUM!</v>
      </c>
      <c r="AN9" s="51" t="e">
        <f t="shared" si="42"/>
        <v>#NUM!</v>
      </c>
      <c r="AO9" s="51" t="e">
        <f t="shared" si="43"/>
        <v>#NUM!</v>
      </c>
      <c r="AP9" s="60" t="e">
        <f t="shared" si="44"/>
        <v>#NUM!</v>
      </c>
      <c r="AQ9" s="51" t="e">
        <f t="shared" si="45"/>
        <v>#NUM!</v>
      </c>
      <c r="AR9" s="63" t="e">
        <f t="shared" si="46"/>
        <v>#NUM!</v>
      </c>
      <c r="AS9" s="76" t="str">
        <f t="shared" si="14"/>
        <v>-0.000170731707317073</v>
      </c>
      <c r="AT9" s="76" t="str">
        <f t="shared" si="15"/>
        <v>0.0155454545454545i</v>
      </c>
      <c r="AU9" s="76">
        <f t="shared" si="16"/>
        <v>1.5545454545454499E-2</v>
      </c>
      <c r="AV9" s="76">
        <f t="shared" si="17"/>
        <v>1.5707963267948966</v>
      </c>
      <c r="AW9" s="76" t="str">
        <f t="shared" si="18"/>
        <v>1+3.30976076555023i</v>
      </c>
      <c r="AX9" s="76">
        <f t="shared" si="19"/>
        <v>3.4575303795014793</v>
      </c>
      <c r="AY9" s="76">
        <f t="shared" si="20"/>
        <v>1.2773804658449783</v>
      </c>
      <c r="AZ9" s="76" t="str">
        <f t="shared" si="21"/>
        <v>1+62.8854545454546i</v>
      </c>
      <c r="BA9" s="76">
        <f t="shared" si="22"/>
        <v>62.893405007110523</v>
      </c>
      <c r="BB9" s="76">
        <f t="shared" si="23"/>
        <v>1.5548957385019282</v>
      </c>
      <c r="BC9" s="73" t="str">
        <f t="shared" si="24"/>
        <v>-0.0547328240717972+0.192135295106959i</v>
      </c>
      <c r="BD9" s="76">
        <f t="shared" si="25"/>
        <v>-13.989002777507554</v>
      </c>
      <c r="BE9" s="79">
        <f t="shared" si="26"/>
        <v>105.90045387366553</v>
      </c>
      <c r="BF9" s="73" t="str">
        <f t="shared" si="27"/>
        <v>0.0247416973285143-0.0161414148993167i</v>
      </c>
      <c r="BG9" s="78">
        <f t="shared" si="28"/>
        <v>-30.591365858203062</v>
      </c>
      <c r="BH9" s="79">
        <f t="shared" si="29"/>
        <v>-33.120318147147572</v>
      </c>
      <c r="BI9" s="86" t="e">
        <f t="shared" si="47"/>
        <v>#NUM!</v>
      </c>
      <c r="BJ9" s="78" t="e">
        <f t="shared" si="30"/>
        <v>#NUM!</v>
      </c>
      <c r="BK9" s="79" t="e">
        <f t="shared" si="31"/>
        <v>#NUM!</v>
      </c>
      <c r="BL9" s="32">
        <f t="shared" si="48"/>
        <v>-30.591365858203062</v>
      </c>
      <c r="BM9" s="32">
        <f t="shared" si="49"/>
        <v>-33.120318147147572</v>
      </c>
    </row>
    <row r="10" spans="1:65" s="32" customFormat="1" ht="15" thickBot="1" x14ac:dyDescent="0.35">
      <c r="A10" s="32" t="s">
        <v>25</v>
      </c>
      <c r="B10" s="3">
        <f>VIN_min</f>
        <v>8</v>
      </c>
      <c r="C10" s="32" t="s">
        <v>10</v>
      </c>
      <c r="E10" s="32" t="s">
        <v>28</v>
      </c>
      <c r="N10" s="60" t="s">
        <v>216</v>
      </c>
      <c r="O10" s="94">
        <f>IF(B31=0,B72,wz_esr/(2*PI()))</f>
        <v>159154.94309189534</v>
      </c>
      <c r="P10" s="80" t="str">
        <f t="shared" si="32"/>
        <v>23.3035714285714</v>
      </c>
      <c r="Q10" s="81" t="str">
        <f t="shared" si="33"/>
        <v>1+535.714285714285i</v>
      </c>
      <c r="R10" s="81">
        <f t="shared" si="0"/>
        <v>535.71521904680526</v>
      </c>
      <c r="S10" s="81">
        <f t="shared" si="1"/>
        <v>1.5689296622963242</v>
      </c>
      <c r="T10" s="81" t="str">
        <f t="shared" si="34"/>
        <v>1+i</v>
      </c>
      <c r="U10" s="81">
        <f t="shared" si="2"/>
        <v>1.4142135623730951</v>
      </c>
      <c r="V10" s="81">
        <f t="shared" si="3"/>
        <v>0.78539816339744828</v>
      </c>
      <c r="W10" s="51" t="str">
        <f t="shared" si="35"/>
        <v>1-2.44444444444445i</v>
      </c>
      <c r="X10" s="81">
        <f t="shared" si="4"/>
        <v>2.641080960889941</v>
      </c>
      <c r="Y10" s="81">
        <f t="shared" si="5"/>
        <v>-1.1824776086224313</v>
      </c>
      <c r="Z10" s="51" t="str">
        <f t="shared" si="36"/>
        <v>0.898678816357662+1.199725i</v>
      </c>
      <c r="AA10" s="81">
        <f t="shared" si="6"/>
        <v>1.4989875551835006</v>
      </c>
      <c r="AB10" s="81">
        <f t="shared" si="7"/>
        <v>0.92789025093795674</v>
      </c>
      <c r="AC10" s="68" t="str">
        <f t="shared" si="8"/>
        <v>-0.105081503388238-0.0265736686369962i</v>
      </c>
      <c r="AD10" s="66">
        <f t="shared" si="9"/>
        <v>-19.300256293306973</v>
      </c>
      <c r="AE10" s="63">
        <f t="shared" si="10"/>
        <v>-165.80821957533234</v>
      </c>
      <c r="AF10" s="51" t="e">
        <f t="shared" si="37"/>
        <v>#NUM!</v>
      </c>
      <c r="AG10" s="51" t="str">
        <f t="shared" si="11"/>
        <v>1-750.000000000002i</v>
      </c>
      <c r="AH10" s="51">
        <f t="shared" si="38"/>
        <v>750.00066666637247</v>
      </c>
      <c r="AI10" s="51">
        <f t="shared" si="39"/>
        <v>-1.569462994251686</v>
      </c>
      <c r="AJ10" s="51" t="str">
        <f t="shared" si="12"/>
        <v>1+i</v>
      </c>
      <c r="AK10" s="51">
        <f t="shared" si="40"/>
        <v>1.4142135623730951</v>
      </c>
      <c r="AL10" s="51">
        <f t="shared" si="41"/>
        <v>0.78539816339744828</v>
      </c>
      <c r="AM10" s="51" t="e">
        <f t="shared" si="13"/>
        <v>#NUM!</v>
      </c>
      <c r="AN10" s="51" t="e">
        <f t="shared" si="42"/>
        <v>#NUM!</v>
      </c>
      <c r="AO10" s="51" t="e">
        <f t="shared" si="43"/>
        <v>#NUM!</v>
      </c>
      <c r="AP10" s="60" t="e">
        <f t="shared" si="44"/>
        <v>#NUM!</v>
      </c>
      <c r="AQ10" s="51" t="e">
        <f t="shared" si="45"/>
        <v>#NUM!</v>
      </c>
      <c r="AR10" s="63" t="e">
        <f t="shared" si="46"/>
        <v>#NUM!</v>
      </c>
      <c r="AS10" s="51" t="str">
        <f t="shared" si="14"/>
        <v>-0.000170731707317073</v>
      </c>
      <c r="AT10" s="51" t="str">
        <f t="shared" si="15"/>
        <v>0.038i</v>
      </c>
      <c r="AU10" s="51">
        <f t="shared" si="16"/>
        <v>3.7999999999999999E-2</v>
      </c>
      <c r="AV10" s="51">
        <f t="shared" si="17"/>
        <v>1.5707963267948966</v>
      </c>
      <c r="AW10" s="51" t="str">
        <f t="shared" si="18"/>
        <v>1+8.09052631578946i</v>
      </c>
      <c r="AX10" s="51">
        <f t="shared" si="19"/>
        <v>8.1520927415285076</v>
      </c>
      <c r="AY10" s="51">
        <f t="shared" si="20"/>
        <v>1.4478186977245346</v>
      </c>
      <c r="AZ10" s="51" t="str">
        <f t="shared" si="21"/>
        <v>1+153.72i</v>
      </c>
      <c r="BA10" s="51">
        <f t="shared" si="22"/>
        <v>153.72325263277511</v>
      </c>
      <c r="BB10" s="51">
        <f t="shared" si="23"/>
        <v>1.5642910841856088</v>
      </c>
      <c r="BC10" s="60" t="str">
        <f t="shared" si="24"/>
        <v>-0.00984558765728779+0.0841489257019374i</v>
      </c>
      <c r="BD10" s="51">
        <f t="shared" si="25"/>
        <v>-21.439979198525563</v>
      </c>
      <c r="BE10" s="63">
        <f t="shared" si="26"/>
        <v>96.673376174036235</v>
      </c>
      <c r="BF10" s="60" t="str">
        <f t="shared" si="27"/>
        <v>0.00327073482053098-0.00858086223732346i</v>
      </c>
      <c r="BG10" s="66">
        <f t="shared" si="28"/>
        <v>-40.740235491832536</v>
      </c>
      <c r="BH10" s="63">
        <f t="shared" si="29"/>
        <v>-69.134843401296109</v>
      </c>
      <c r="BI10" s="86" t="e">
        <f t="shared" si="47"/>
        <v>#NUM!</v>
      </c>
      <c r="BJ10" s="66" t="e">
        <f t="shared" si="30"/>
        <v>#NUM!</v>
      </c>
      <c r="BK10" s="63" t="e">
        <f t="shared" si="31"/>
        <v>#NUM!</v>
      </c>
      <c r="BL10" s="32">
        <f t="shared" si="48"/>
        <v>-40.740235491832536</v>
      </c>
      <c r="BM10" s="32">
        <f t="shared" si="49"/>
        <v>-69.134843401296109</v>
      </c>
    </row>
    <row r="11" spans="1:65" s="32" customFormat="1" ht="15" thickBot="1" x14ac:dyDescent="0.35">
      <c r="A11" s="32" t="s">
        <v>26</v>
      </c>
      <c r="B11" s="3">
        <f>VIN_nom</f>
        <v>14.8</v>
      </c>
      <c r="C11" s="32" t="s">
        <v>10</v>
      </c>
      <c r="E11" s="32" t="s">
        <v>29</v>
      </c>
      <c r="N11" s="64" t="s">
        <v>214</v>
      </c>
      <c r="O11" s="95">
        <f>IF(B31=0,B70,wp_lf/(2*PI()))</f>
        <v>297.08922710487127</v>
      </c>
      <c r="P11" s="82" t="str">
        <f t="shared" si="32"/>
        <v>23.3035714285714</v>
      </c>
      <c r="Q11" s="56" t="str">
        <f t="shared" si="33"/>
        <v>1+i</v>
      </c>
      <c r="R11" s="56">
        <f t="shared" si="0"/>
        <v>1.4142135623730951</v>
      </c>
      <c r="S11" s="56">
        <f t="shared" si="1"/>
        <v>0.78539816339744828</v>
      </c>
      <c r="T11" s="56" t="str">
        <f t="shared" si="34"/>
        <v>1+0.00186666666666667i</v>
      </c>
      <c r="U11" s="56">
        <f t="shared" si="2"/>
        <v>1.0000017422207046</v>
      </c>
      <c r="V11" s="56">
        <f t="shared" si="3"/>
        <v>1.8666644985724373E-3</v>
      </c>
      <c r="W11" s="57" t="str">
        <f t="shared" si="35"/>
        <v>1-0.00456296296296297i</v>
      </c>
      <c r="X11" s="56">
        <f t="shared" si="4"/>
        <v>1.0000104102613139</v>
      </c>
      <c r="Y11" s="56">
        <f t="shared" si="5"/>
        <v>-4.5629312954358634E-3</v>
      </c>
      <c r="Z11" s="57" t="str">
        <f t="shared" si="36"/>
        <v>0.999999646951965+0.00223948666666667i</v>
      </c>
      <c r="AA11" s="56">
        <f t="shared" si="6"/>
        <v>1.0000021545999713</v>
      </c>
      <c r="AB11" s="56">
        <f t="shared" si="7"/>
        <v>2.2394837134210614E-3</v>
      </c>
      <c r="AC11" s="61" t="str">
        <f t="shared" si="8"/>
        <v>11.5942496292736-11.7092709267867i</v>
      </c>
      <c r="AD11" s="67">
        <f t="shared" si="9"/>
        <v>24.338236576758575</v>
      </c>
      <c r="AE11" s="65">
        <f t="shared" si="10"/>
        <v>-45.282797672968933</v>
      </c>
      <c r="AF11" s="51" t="e">
        <f t="shared" si="37"/>
        <v>#NUM!</v>
      </c>
      <c r="AG11" s="51" t="str">
        <f t="shared" si="11"/>
        <v>1-1.40000000000001i</v>
      </c>
      <c r="AH11" s="51">
        <f t="shared" si="38"/>
        <v>1.7204650534085335</v>
      </c>
      <c r="AI11" s="51">
        <f t="shared" si="39"/>
        <v>-0.95054684081207852</v>
      </c>
      <c r="AJ11" s="51" t="str">
        <f t="shared" si="12"/>
        <v>1+0.00186666666666667i</v>
      </c>
      <c r="AK11" s="51">
        <f t="shared" si="40"/>
        <v>1.0000017422207046</v>
      </c>
      <c r="AL11" s="51">
        <f t="shared" si="41"/>
        <v>1.8666644985724373E-3</v>
      </c>
      <c r="AM11" s="51" t="e">
        <f t="shared" si="13"/>
        <v>#NUM!</v>
      </c>
      <c r="AN11" s="51" t="e">
        <f t="shared" si="42"/>
        <v>#NUM!</v>
      </c>
      <c r="AO11" s="51" t="e">
        <f t="shared" si="43"/>
        <v>#NUM!</v>
      </c>
      <c r="AP11" s="60" t="e">
        <f t="shared" si="44"/>
        <v>#NUM!</v>
      </c>
      <c r="AQ11" s="51" t="e">
        <f t="shared" si="45"/>
        <v>#NUM!</v>
      </c>
      <c r="AR11" s="63" t="e">
        <f t="shared" si="46"/>
        <v>#NUM!</v>
      </c>
      <c r="AS11" s="57" t="str">
        <f t="shared" si="14"/>
        <v>-0.000170731707317073</v>
      </c>
      <c r="AT11" s="57" t="str">
        <f t="shared" si="15"/>
        <v>0.0000709333333333333i</v>
      </c>
      <c r="AU11" s="57">
        <f t="shared" si="16"/>
        <v>7.09333333333333E-5</v>
      </c>
      <c r="AV11" s="57">
        <f t="shared" si="17"/>
        <v>1.5707963267948966</v>
      </c>
      <c r="AW11" s="57" t="str">
        <f t="shared" si="18"/>
        <v>1+0.0151023157894737i</v>
      </c>
      <c r="AX11" s="57">
        <f t="shared" si="19"/>
        <v>1.0001140334692864</v>
      </c>
      <c r="AY11" s="57">
        <f t="shared" si="20"/>
        <v>1.5101167768136515E-2</v>
      </c>
      <c r="AZ11" s="57" t="str">
        <f t="shared" si="21"/>
        <v>1+0.286944000000001i</v>
      </c>
      <c r="BA11" s="57">
        <f t="shared" si="22"/>
        <v>1.0403541988842071</v>
      </c>
      <c r="BB11" s="57">
        <f t="shared" si="23"/>
        <v>0.27943619499477063</v>
      </c>
      <c r="BC11" s="64" t="str">
        <f t="shared" si="24"/>
        <v>-0.654155239200116+2.41681122305421i</v>
      </c>
      <c r="BD11" s="57">
        <f t="shared" si="25"/>
        <v>7.9719103487556309</v>
      </c>
      <c r="BE11" s="65">
        <f t="shared" si="26"/>
        <v>105.14528143756189</v>
      </c>
      <c r="BF11" s="64" t="str">
        <f t="shared" si="27"/>
        <v>20.7146582500571+35.6807935508917i</v>
      </c>
      <c r="BG11" s="67">
        <f t="shared" si="28"/>
        <v>32.310146925514211</v>
      </c>
      <c r="BH11" s="65">
        <f t="shared" si="29"/>
        <v>59.862483764593044</v>
      </c>
      <c r="BI11" s="86" t="e">
        <f t="shared" si="47"/>
        <v>#NUM!</v>
      </c>
      <c r="BJ11" s="67" t="e">
        <f t="shared" si="30"/>
        <v>#NUM!</v>
      </c>
      <c r="BK11" s="65" t="e">
        <f t="shared" si="31"/>
        <v>#NUM!</v>
      </c>
      <c r="BL11" s="32">
        <f t="shared" si="48"/>
        <v>32.310146925514211</v>
      </c>
      <c r="BM11" s="32">
        <f t="shared" si="49"/>
        <v>59.862483764593044</v>
      </c>
    </row>
    <row r="12" spans="1:65" s="32" customFormat="1" ht="15" thickBot="1" x14ac:dyDescent="0.35">
      <c r="A12" s="32" t="s">
        <v>27</v>
      </c>
      <c r="B12" s="3">
        <f>VIN_max</f>
        <v>18</v>
      </c>
      <c r="C12" s="32" t="s">
        <v>10</v>
      </c>
      <c r="E12" s="32" t="s">
        <v>30</v>
      </c>
      <c r="N12" s="73" t="s">
        <v>224</v>
      </c>
      <c r="O12" s="79">
        <f>wz_ea/(2*PI())</f>
        <v>1035.3561221174559</v>
      </c>
      <c r="P12" s="74" t="str">
        <f t="shared" si="32"/>
        <v>23.3035714285714</v>
      </c>
      <c r="Q12" s="75" t="str">
        <f t="shared" si="33"/>
        <v>1+3.48500055760008i</v>
      </c>
      <c r="R12" s="75">
        <f t="shared" si="0"/>
        <v>3.6256349632130465</v>
      </c>
      <c r="S12" s="75">
        <f t="shared" si="1"/>
        <v>1.2913601318001262</v>
      </c>
      <c r="T12" s="75" t="str">
        <f t="shared" si="34"/>
        <v>1+0.00650533437418683i</v>
      </c>
      <c r="U12" s="75">
        <f t="shared" si="2"/>
        <v>1.0000211594637987</v>
      </c>
      <c r="V12" s="75">
        <f t="shared" si="3"/>
        <v>6.5052426092878906E-3</v>
      </c>
      <c r="W12" s="76" t="str">
        <f t="shared" si="35"/>
        <v>1-0.0159019284702345i</v>
      </c>
      <c r="X12" s="75">
        <f t="shared" si="4"/>
        <v>1.0001264276725579</v>
      </c>
      <c r="Y12" s="75">
        <f t="shared" si="5"/>
        <v>-1.5900588292968375E-2</v>
      </c>
      <c r="Z12" s="76" t="str">
        <f t="shared" si="36"/>
        <v>0.999995712150802+0.00780461228207129i</v>
      </c>
      <c r="AA12" s="75">
        <f t="shared" si="6"/>
        <v>1.0000261678040545</v>
      </c>
      <c r="AB12" s="75">
        <f t="shared" si="7"/>
        <v>7.8044872861909708E-3</v>
      </c>
      <c r="AC12" s="77" t="str">
        <f t="shared" si="8"/>
        <v>1.66646041072255-6.20846189885581i</v>
      </c>
      <c r="AD12" s="78">
        <f t="shared" si="9"/>
        <v>16.161822734885373</v>
      </c>
      <c r="AE12" s="79">
        <f t="shared" si="10"/>
        <v>-74.974963221108595</v>
      </c>
      <c r="AF12" s="51" t="e">
        <f t="shared" si="37"/>
        <v>#NUM!</v>
      </c>
      <c r="AG12" s="51" t="str">
        <f t="shared" si="11"/>
        <v>1-4.87900078064013i</v>
      </c>
      <c r="AH12" s="51">
        <f t="shared" si="38"/>
        <v>4.9804265497532434</v>
      </c>
      <c r="AI12" s="51">
        <f t="shared" si="39"/>
        <v>-1.3686361170090382</v>
      </c>
      <c r="AJ12" s="51" t="str">
        <f t="shared" si="12"/>
        <v>1+0.00650533437418683i</v>
      </c>
      <c r="AK12" s="51">
        <f t="shared" si="40"/>
        <v>1.0000211594637987</v>
      </c>
      <c r="AL12" s="51">
        <f t="shared" si="41"/>
        <v>6.5052426092878906E-3</v>
      </c>
      <c r="AM12" s="51" t="e">
        <f t="shared" si="13"/>
        <v>#NUM!</v>
      </c>
      <c r="AN12" s="51" t="e">
        <f t="shared" si="42"/>
        <v>#NUM!</v>
      </c>
      <c r="AO12" s="51" t="e">
        <f t="shared" si="43"/>
        <v>#NUM!</v>
      </c>
      <c r="AP12" s="60" t="e">
        <f t="shared" si="44"/>
        <v>#NUM!</v>
      </c>
      <c r="AQ12" s="51" t="e">
        <f t="shared" si="45"/>
        <v>#NUM!</v>
      </c>
      <c r="AR12" s="63" t="e">
        <f t="shared" si="46"/>
        <v>#NUM!</v>
      </c>
      <c r="AS12" s="76" t="str">
        <f t="shared" si="14"/>
        <v>-0.000170731707317073</v>
      </c>
      <c r="AT12" s="76" t="str">
        <f t="shared" si="15"/>
        <v>0.0002472027062191i</v>
      </c>
      <c r="AU12" s="76">
        <f t="shared" si="16"/>
        <v>2.4720270621909999E-4</v>
      </c>
      <c r="AV12" s="76">
        <f t="shared" si="17"/>
        <v>1.5707963267948966</v>
      </c>
      <c r="AW12" s="76" t="str">
        <f t="shared" si="18"/>
        <v>1+0.0526315789473683i</v>
      </c>
      <c r="AX12" s="76">
        <f t="shared" si="19"/>
        <v>1.001384083707392</v>
      </c>
      <c r="AY12" s="76">
        <f t="shared" si="20"/>
        <v>5.2583061610941596E-2</v>
      </c>
      <c r="AZ12" s="76" t="str">
        <f t="shared" si="21"/>
        <v>1+i</v>
      </c>
      <c r="BA12" s="76">
        <f t="shared" si="22"/>
        <v>1.4142135623730951</v>
      </c>
      <c r="BB12" s="76">
        <f t="shared" si="23"/>
        <v>0.78539816339744828</v>
      </c>
      <c r="BC12" s="73" t="str">
        <f t="shared" si="24"/>
        <v>-0.652496968063602+0.72499663118178i</v>
      </c>
      <c r="BD12" s="76">
        <f t="shared" si="25"/>
        <v>-0.21649448023483567</v>
      </c>
      <c r="BE12" s="79">
        <f t="shared" si="26"/>
        <v>131.98721249581666</v>
      </c>
      <c r="BF12" s="73" t="str">
        <f t="shared" si="27"/>
        <v>3.41375359609641+5.25918074911346i</v>
      </c>
      <c r="BG12" s="78">
        <f t="shared" si="28"/>
        <v>15.94532825465053</v>
      </c>
      <c r="BH12" s="79">
        <f t="shared" si="29"/>
        <v>57.012249274708047</v>
      </c>
      <c r="BI12" s="86" t="e">
        <f t="shared" si="47"/>
        <v>#NUM!</v>
      </c>
      <c r="BJ12" s="78" t="e">
        <f t="shared" si="30"/>
        <v>#NUM!</v>
      </c>
      <c r="BK12" s="79" t="e">
        <f t="shared" si="31"/>
        <v>#NUM!</v>
      </c>
      <c r="BL12" s="32">
        <f t="shared" si="48"/>
        <v>15.94532825465053</v>
      </c>
      <c r="BM12" s="32">
        <f t="shared" si="49"/>
        <v>57.012249274708047</v>
      </c>
    </row>
    <row r="13" spans="1:65" s="32" customFormat="1" ht="15" thickBot="1" x14ac:dyDescent="0.35">
      <c r="A13" s="32" t="s">
        <v>66</v>
      </c>
      <c r="B13" s="3">
        <f>Fsw</f>
        <v>1000000</v>
      </c>
      <c r="C13" s="32" t="s">
        <v>67</v>
      </c>
      <c r="E13" s="32" t="s">
        <v>68</v>
      </c>
      <c r="N13" s="64" t="s">
        <v>230</v>
      </c>
      <c r="O13" s="65">
        <f>wp1_ea/(2*PI())</f>
        <v>19671.766320231662</v>
      </c>
      <c r="P13" s="82" t="str">
        <f t="shared" si="32"/>
        <v>23.3035714285714</v>
      </c>
      <c r="Q13" s="56" t="str">
        <f t="shared" si="33"/>
        <v>1+66.2150105944017i</v>
      </c>
      <c r="R13" s="56">
        <f t="shared" si="0"/>
        <v>66.222561321778613</v>
      </c>
      <c r="S13" s="56">
        <f t="shared" si="1"/>
        <v>1.55569515902676</v>
      </c>
      <c r="T13" s="56" t="str">
        <f t="shared" si="34"/>
        <v>1+0.12360135310955i</v>
      </c>
      <c r="U13" s="56">
        <f t="shared" si="2"/>
        <v>1.007609693527465</v>
      </c>
      <c r="V13" s="56">
        <f t="shared" si="3"/>
        <v>0.12297762907036201</v>
      </c>
      <c r="W13" s="57" t="str">
        <f t="shared" si="35"/>
        <v>1-0.302136640934456i</v>
      </c>
      <c r="X13" s="56">
        <f t="shared" si="4"/>
        <v>1.044646614791412</v>
      </c>
      <c r="Y13" s="56">
        <f t="shared" si="5"/>
        <v>-0.29341586094991828</v>
      </c>
      <c r="Z13" s="57" t="str">
        <f t="shared" si="36"/>
        <v>0.998452086439369+0.148287633359355i</v>
      </c>
      <c r="AA13" s="56">
        <f t="shared" si="6"/>
        <v>1.0094036809534865</v>
      </c>
      <c r="AB13" s="56">
        <f t="shared" si="7"/>
        <v>0.14743978058279425</v>
      </c>
      <c r="AC13" s="61" t="str">
        <f t="shared" si="8"/>
        <v>-0.109415803850398-0.350263469417101i</v>
      </c>
      <c r="AD13" s="67">
        <f t="shared" si="9"/>
        <v>-8.7077327091522569</v>
      </c>
      <c r="AE13" s="65">
        <f t="shared" si="10"/>
        <v>-107.34783533526638</v>
      </c>
      <c r="AF13" s="51" t="e">
        <f t="shared" si="37"/>
        <v>#NUM!</v>
      </c>
      <c r="AG13" s="51" t="str">
        <f t="shared" si="11"/>
        <v>1-92.7010148321627i</v>
      </c>
      <c r="AH13" s="51">
        <f t="shared" si="38"/>
        <v>92.706408359470217</v>
      </c>
      <c r="AI13" s="51">
        <f t="shared" si="39"/>
        <v>-1.5600093767770065</v>
      </c>
      <c r="AJ13" s="51" t="str">
        <f t="shared" si="12"/>
        <v>1+0.12360135310955i</v>
      </c>
      <c r="AK13" s="51">
        <f t="shared" si="40"/>
        <v>1.007609693527465</v>
      </c>
      <c r="AL13" s="51">
        <f t="shared" si="41"/>
        <v>0.12297762907036201</v>
      </c>
      <c r="AM13" s="51" t="e">
        <f t="shared" si="13"/>
        <v>#NUM!</v>
      </c>
      <c r="AN13" s="51" t="e">
        <f t="shared" si="42"/>
        <v>#NUM!</v>
      </c>
      <c r="AO13" s="51" t="e">
        <f t="shared" si="43"/>
        <v>#NUM!</v>
      </c>
      <c r="AP13" s="60" t="e">
        <f t="shared" si="44"/>
        <v>#NUM!</v>
      </c>
      <c r="AQ13" s="51" t="e">
        <f t="shared" si="45"/>
        <v>#NUM!</v>
      </c>
      <c r="AR13" s="63" t="e">
        <f t="shared" si="46"/>
        <v>#NUM!</v>
      </c>
      <c r="AS13" s="57" t="str">
        <f t="shared" si="14"/>
        <v>-0.000170731707317073</v>
      </c>
      <c r="AT13" s="57" t="str">
        <f t="shared" si="15"/>
        <v>0.00469685141816289i</v>
      </c>
      <c r="AU13" s="57">
        <f t="shared" si="16"/>
        <v>4.6968514181628899E-3</v>
      </c>
      <c r="AV13" s="57">
        <f t="shared" si="17"/>
        <v>1.5707963267948966</v>
      </c>
      <c r="AW13" s="57" t="str">
        <f t="shared" si="18"/>
        <v>1+i</v>
      </c>
      <c r="AX13" s="57">
        <f t="shared" si="19"/>
        <v>1.4142135623730951</v>
      </c>
      <c r="AY13" s="57">
        <f t="shared" si="20"/>
        <v>0.78539816339744828</v>
      </c>
      <c r="AZ13" s="57" t="str">
        <f t="shared" si="21"/>
        <v>1+19i</v>
      </c>
      <c r="BA13" s="57">
        <f t="shared" si="22"/>
        <v>19.026297590440446</v>
      </c>
      <c r="BB13" s="57">
        <f t="shared" si="23"/>
        <v>1.5182132651839548</v>
      </c>
      <c r="BC13" s="64" t="str">
        <f t="shared" si="24"/>
        <v>-0.327152219444632+0.363502466049591i</v>
      </c>
      <c r="BD13" s="57">
        <f t="shared" si="25"/>
        <v>-6.2130670209642922</v>
      </c>
      <c r="BE13" s="65">
        <f t="shared" si="26"/>
        <v>131.98721249581666</v>
      </c>
      <c r="BF13" s="64" t="str">
        <f t="shared" si="27"/>
        <v>0.163117257972178+0.0748165568857636i</v>
      </c>
      <c r="BG13" s="67">
        <f t="shared" si="28"/>
        <v>-14.920799730116547</v>
      </c>
      <c r="BH13" s="65">
        <f t="shared" si="29"/>
        <v>24.639377160550278</v>
      </c>
      <c r="BI13" s="86" t="e">
        <f t="shared" si="47"/>
        <v>#NUM!</v>
      </c>
      <c r="BJ13" s="67" t="e">
        <f t="shared" si="30"/>
        <v>#NUM!</v>
      </c>
      <c r="BK13" s="65" t="e">
        <f t="shared" si="31"/>
        <v>#NUM!</v>
      </c>
      <c r="BL13" s="32">
        <f t="shared" si="48"/>
        <v>-14.920799730116547</v>
      </c>
      <c r="BM13" s="32">
        <f t="shared" si="49"/>
        <v>24.639377160550278</v>
      </c>
    </row>
    <row r="14" spans="1:65" s="32" customFormat="1" x14ac:dyDescent="0.3">
      <c r="B14" s="27"/>
      <c r="O14" s="52"/>
    </row>
    <row r="15" spans="1:65" ht="15" thickBot="1" x14ac:dyDescent="0.35">
      <c r="A15" s="70" t="s">
        <v>473</v>
      </c>
      <c r="N15" s="32"/>
      <c r="O15" s="52" t="s">
        <v>193</v>
      </c>
      <c r="P15" s="32">
        <f>B16</f>
        <v>18</v>
      </c>
      <c r="Q15" s="32" t="s">
        <v>10</v>
      </c>
      <c r="R15" s="32"/>
      <c r="S15" s="32"/>
      <c r="T15" s="32"/>
      <c r="U15" s="32"/>
      <c r="V15" s="32"/>
      <c r="W15" s="32"/>
      <c r="X15" s="32"/>
      <c r="Y15" s="32"/>
      <c r="Z15" s="32"/>
      <c r="AA15" s="32"/>
      <c r="AB15" s="32"/>
      <c r="AD15" s="32"/>
      <c r="AE15" s="32"/>
      <c r="AS15" s="32"/>
      <c r="AT15" s="32"/>
      <c r="AU15" s="32"/>
      <c r="AV15" s="32"/>
      <c r="AW15" s="32"/>
      <c r="AX15" s="32"/>
      <c r="AY15" s="32"/>
      <c r="AZ15" s="32"/>
      <c r="BA15" s="32"/>
      <c r="BB15" s="32"/>
      <c r="BD15" s="32"/>
      <c r="BE15" s="32"/>
      <c r="BG15" s="32"/>
      <c r="BH15" s="32"/>
      <c r="BI15" s="32"/>
    </row>
    <row r="16" spans="1:65" ht="15" thickBot="1" x14ac:dyDescent="0.35">
      <c r="A16" t="s">
        <v>195</v>
      </c>
      <c r="B16">
        <v>18</v>
      </c>
      <c r="C16" t="s">
        <v>10</v>
      </c>
      <c r="E16" t="s">
        <v>196</v>
      </c>
      <c r="F16" s="32"/>
      <c r="G16" s="32"/>
      <c r="N16" s="32"/>
      <c r="O16" s="69"/>
      <c r="P16" s="246" t="s">
        <v>471</v>
      </c>
      <c r="Q16" s="246"/>
      <c r="R16" s="246"/>
      <c r="S16" s="246"/>
      <c r="T16" s="246"/>
      <c r="U16" s="246"/>
      <c r="V16" s="246"/>
      <c r="W16" s="246"/>
      <c r="X16" s="246"/>
      <c r="Y16" s="246"/>
      <c r="Z16" s="246"/>
      <c r="AA16" s="246"/>
      <c r="AB16" s="246"/>
      <c r="AC16" s="246"/>
      <c r="AD16" s="246"/>
      <c r="AE16" s="247"/>
      <c r="AF16" s="245" t="s">
        <v>472</v>
      </c>
      <c r="AG16" s="246"/>
      <c r="AH16" s="246"/>
      <c r="AI16" s="246"/>
      <c r="AJ16" s="246"/>
      <c r="AK16" s="246"/>
      <c r="AL16" s="246"/>
      <c r="AM16" s="246"/>
      <c r="AN16" s="246"/>
      <c r="AO16" s="246"/>
      <c r="AP16" s="246"/>
      <c r="AQ16" s="246"/>
      <c r="AR16" s="247"/>
      <c r="AS16" s="245" t="s">
        <v>223</v>
      </c>
      <c r="AT16" s="246"/>
      <c r="AU16" s="246"/>
      <c r="AV16" s="246"/>
      <c r="AW16" s="246"/>
      <c r="AX16" s="246"/>
      <c r="AY16" s="246"/>
      <c r="AZ16" s="246"/>
      <c r="BA16" s="246"/>
      <c r="BB16" s="246"/>
      <c r="BC16" s="246"/>
      <c r="BD16" s="246"/>
      <c r="BE16" s="247"/>
      <c r="BF16" s="245" t="s">
        <v>506</v>
      </c>
      <c r="BG16" s="246"/>
      <c r="BH16" s="247"/>
      <c r="BI16" s="245" t="s">
        <v>507</v>
      </c>
      <c r="BJ16" s="246"/>
      <c r="BK16" s="247"/>
      <c r="BL16" s="245" t="s">
        <v>508</v>
      </c>
      <c r="BM16" s="247"/>
    </row>
    <row r="17" spans="1:65" x14ac:dyDescent="0.3">
      <c r="A17" t="s">
        <v>389</v>
      </c>
      <c r="B17">
        <f>IOUT</f>
        <v>8</v>
      </c>
      <c r="C17" t="s">
        <v>11</v>
      </c>
      <c r="E17" t="s">
        <v>498</v>
      </c>
      <c r="N17" s="32"/>
      <c r="O17" s="54"/>
      <c r="P17" s="51"/>
      <c r="Q17" s="248" t="s">
        <v>214</v>
      </c>
      <c r="R17" s="248"/>
      <c r="S17" s="248"/>
      <c r="T17" s="244" t="s">
        <v>216</v>
      </c>
      <c r="U17" s="244"/>
      <c r="V17" s="244"/>
      <c r="W17" s="244" t="s">
        <v>258</v>
      </c>
      <c r="X17" s="244"/>
      <c r="Y17" s="244"/>
      <c r="Z17" s="244" t="s">
        <v>219</v>
      </c>
      <c r="AA17" s="244"/>
      <c r="AB17" s="244"/>
      <c r="AC17" s="252" t="s">
        <v>221</v>
      </c>
      <c r="AD17" s="244"/>
      <c r="AE17" s="253"/>
      <c r="AF17" s="217"/>
      <c r="AG17" s="248" t="s">
        <v>214</v>
      </c>
      <c r="AH17" s="248"/>
      <c r="AI17" s="248"/>
      <c r="AJ17" s="249" t="s">
        <v>216</v>
      </c>
      <c r="AK17" s="249"/>
      <c r="AL17" s="249"/>
      <c r="AM17" s="244" t="s">
        <v>258</v>
      </c>
      <c r="AN17" s="244"/>
      <c r="AO17" s="244"/>
      <c r="AP17" s="250" t="s">
        <v>221</v>
      </c>
      <c r="AQ17" s="249"/>
      <c r="AR17" s="251"/>
      <c r="AS17" s="51"/>
      <c r="AT17" s="244" t="s">
        <v>229</v>
      </c>
      <c r="AU17" s="244"/>
      <c r="AV17" s="244"/>
      <c r="AW17" s="244" t="s">
        <v>230</v>
      </c>
      <c r="AX17" s="244"/>
      <c r="AY17" s="244"/>
      <c r="AZ17" s="244" t="s">
        <v>224</v>
      </c>
      <c r="BA17" s="244"/>
      <c r="BB17" s="244"/>
      <c r="BC17" s="252" t="s">
        <v>221</v>
      </c>
      <c r="BD17" s="244"/>
      <c r="BE17" s="253"/>
      <c r="BF17" s="252" t="s">
        <v>221</v>
      </c>
      <c r="BG17" s="244"/>
      <c r="BH17" s="253"/>
      <c r="BI17" s="252" t="s">
        <v>221</v>
      </c>
      <c r="BJ17" s="244"/>
      <c r="BK17" s="253"/>
      <c r="BL17" s="51"/>
      <c r="BM17" s="63"/>
    </row>
    <row r="18" spans="1:65" ht="15" thickBot="1" x14ac:dyDescent="0.35">
      <c r="A18" t="s">
        <v>582</v>
      </c>
      <c r="B18">
        <f>VOUT/(VOUT+VIN_var)</f>
        <v>0.4</v>
      </c>
      <c r="N18" s="11"/>
      <c r="O18" s="55" t="s">
        <v>192</v>
      </c>
      <c r="P18" s="56" t="s">
        <v>197</v>
      </c>
      <c r="Q18" s="57" t="s">
        <v>220</v>
      </c>
      <c r="R18" s="56" t="s">
        <v>217</v>
      </c>
      <c r="S18" s="56" t="s">
        <v>218</v>
      </c>
      <c r="T18" s="56" t="s">
        <v>220</v>
      </c>
      <c r="U18" s="56" t="s">
        <v>217</v>
      </c>
      <c r="V18" s="56" t="s">
        <v>218</v>
      </c>
      <c r="W18" s="58" t="s">
        <v>220</v>
      </c>
      <c r="X18" s="56" t="s">
        <v>217</v>
      </c>
      <c r="Y18" s="56" t="s">
        <v>218</v>
      </c>
      <c r="Z18" s="58" t="s">
        <v>220</v>
      </c>
      <c r="AA18" s="58" t="s">
        <v>217</v>
      </c>
      <c r="AB18" s="58" t="s">
        <v>218</v>
      </c>
      <c r="AC18" s="62" t="s">
        <v>233</v>
      </c>
      <c r="AD18" s="58" t="s">
        <v>217</v>
      </c>
      <c r="AE18" s="59" t="s">
        <v>218</v>
      </c>
      <c r="AF18" s="223" t="s">
        <v>197</v>
      </c>
      <c r="AG18" s="224" t="s">
        <v>220</v>
      </c>
      <c r="AH18" s="224" t="s">
        <v>232</v>
      </c>
      <c r="AI18" s="224" t="s">
        <v>218</v>
      </c>
      <c r="AJ18" s="224" t="s">
        <v>220</v>
      </c>
      <c r="AK18" s="224" t="s">
        <v>232</v>
      </c>
      <c r="AL18" s="224" t="s">
        <v>218</v>
      </c>
      <c r="AM18" s="224" t="s">
        <v>220</v>
      </c>
      <c r="AN18" s="224" t="s">
        <v>232</v>
      </c>
      <c r="AO18" s="224" t="s">
        <v>218</v>
      </c>
      <c r="AP18" s="62" t="s">
        <v>233</v>
      </c>
      <c r="AQ18" s="58" t="s">
        <v>217</v>
      </c>
      <c r="AR18" s="59" t="s">
        <v>218</v>
      </c>
      <c r="AS18" s="56" t="s">
        <v>231</v>
      </c>
      <c r="AT18" s="58" t="s">
        <v>220</v>
      </c>
      <c r="AU18" s="58" t="s">
        <v>232</v>
      </c>
      <c r="AV18" s="58" t="s">
        <v>218</v>
      </c>
      <c r="AW18" s="58" t="s">
        <v>220</v>
      </c>
      <c r="AX18" s="58" t="s">
        <v>232</v>
      </c>
      <c r="AY18" s="58" t="s">
        <v>218</v>
      </c>
      <c r="AZ18" s="58" t="s">
        <v>220</v>
      </c>
      <c r="BA18" s="58" t="s">
        <v>232</v>
      </c>
      <c r="BB18" s="58" t="s">
        <v>218</v>
      </c>
      <c r="BC18" s="62" t="s">
        <v>233</v>
      </c>
      <c r="BD18" s="58" t="s">
        <v>217</v>
      </c>
      <c r="BE18" s="59" t="s">
        <v>218</v>
      </c>
      <c r="BF18" s="62" t="s">
        <v>233</v>
      </c>
      <c r="BG18" s="58" t="s">
        <v>217</v>
      </c>
      <c r="BH18" s="59" t="s">
        <v>218</v>
      </c>
      <c r="BI18" s="62" t="s">
        <v>233</v>
      </c>
      <c r="BJ18" s="58" t="s">
        <v>217</v>
      </c>
      <c r="BK18" s="59" t="s">
        <v>218</v>
      </c>
      <c r="BL18" s="83" t="s">
        <v>509</v>
      </c>
      <c r="BM18" s="85" t="s">
        <v>510</v>
      </c>
    </row>
    <row r="19" spans="1:65" x14ac:dyDescent="0.3">
      <c r="A19" t="s">
        <v>31</v>
      </c>
      <c r="B19" s="45">
        <f>VOUT</f>
        <v>12</v>
      </c>
      <c r="C19" t="s">
        <v>10</v>
      </c>
      <c r="E19" t="s">
        <v>167</v>
      </c>
      <c r="N19" s="11">
        <v>1</v>
      </c>
      <c r="O19" s="52">
        <f>10^(1+(N19/100))</f>
        <v>10.232929922807543</v>
      </c>
      <c r="P19" s="50" t="str">
        <f t="shared" ref="P19:P82" si="50">COMPLEX(Adc,0)</f>
        <v>23.3035714285714</v>
      </c>
      <c r="Q19" s="18" t="str">
        <f t="shared" ref="Q19:Q82" si="51">IMSUM(COMPLEX(1,0),IMDIV(COMPLEX(0,2*PI()*O19),COMPLEX(wp_lf,0)))</f>
        <v>1+0.034443961575205i</v>
      </c>
      <c r="R19" s="18">
        <f>IMABS(Q19)</f>
        <v>1.0005930174096731</v>
      </c>
      <c r="S19" s="18">
        <f>IMARGUMENT(Q19)</f>
        <v>3.4430349979513247E-2</v>
      </c>
      <c r="T19" s="18" t="str">
        <f t="shared" ref="T19:T82" si="52">IMSUM(COMPLEX(1,0),IMDIV(COMPLEX(0,2*PI()*O19),COMPLEX(wz_esr,0)))</f>
        <v>1+0.0000642953949403827i</v>
      </c>
      <c r="U19" s="18">
        <f>IMABS(T19)</f>
        <v>1.0000000020669488</v>
      </c>
      <c r="V19" s="18">
        <f>IMARGUMENT(T19)</f>
        <v>6.4295394851785837E-5</v>
      </c>
      <c r="W19" s="32" t="str">
        <f t="shared" ref="W19:W82" si="53">IMSUB(COMPLEX(1,0),IMDIV(COMPLEX(0,2*PI()*O19),COMPLEX(wz_rhp,0)))</f>
        <v>1-0.00015716652096538i</v>
      </c>
      <c r="X19" s="18">
        <f>IMABS(W19)</f>
        <v>1.0000000123506576</v>
      </c>
      <c r="Y19" s="18">
        <f>IMARGUMENT(W19)</f>
        <v>-1.5716651967130675E-4</v>
      </c>
      <c r="Z19" s="32" t="str">
        <f t="shared" ref="Z19:Z82" si="54">IMSUM(COMPLEX(1,0),IMDIV(COMPLEX(0,2*PI()*O19),COMPLEX(Q*(wsl/2),0)),IMDIV(IMPOWER(COMPLEX(0,2*PI()*O19),2),IMPOWER(COMPLEX(wsl/2,0),2)))</f>
        <v>0.999999999581149+0.0000771367926948506i</v>
      </c>
      <c r="AA19" s="18">
        <f>IMABS(Z19)</f>
        <v>1.0000000025561915</v>
      </c>
      <c r="AB19" s="18">
        <f>IMARGUMENT(Z19)</f>
        <v>7.713679257416926E-5</v>
      </c>
      <c r="AC19" s="68" t="str">
        <f>(IMDIV(IMPRODUCT(P19,T19,W19),IMPRODUCT(Q19,Z19)))</f>
        <v>23.2758207891121-0.80567326856585i</v>
      </c>
      <c r="AD19" s="66">
        <f>20*LOG(IMABS(AC19))</f>
        <v>27.343300439293387</v>
      </c>
      <c r="AE19" s="63">
        <f>(180/PI())*IMARGUMENT(AC19)</f>
        <v>-1.9824544771349182</v>
      </c>
      <c r="AF19" s="51" t="e">
        <f>COMPLEX($B$68,0)</f>
        <v>#NUM!</v>
      </c>
      <c r="AG19" s="51" t="str">
        <f t="shared" ref="AG19:AG82" si="55">IMSUM(COMPLEX(1,0),IMDIV(COMPLEX(0,2*PI()*O19),COMPLEX(wp_lf_DCM,0)))</f>
        <v>1-0.0482215462052871i</v>
      </c>
      <c r="AH19" s="51">
        <f>IMABS(AG19)</f>
        <v>1.0011619836562056</v>
      </c>
      <c r="AI19" s="51">
        <f>IMARGUMENT(AG19)</f>
        <v>-4.818422146453636E-2</v>
      </c>
      <c r="AJ19" s="51" t="str">
        <f t="shared" ref="AJ19:AJ82" si="56">IMSUM(COMPLEX(1,0),IMDIV(COMPLEX(0,2*PI()*O19),COMPLEX(wz1_dcm,0)))</f>
        <v>1+0.0000642953949403827i</v>
      </c>
      <c r="AK19" s="51">
        <f>IMABS(AJ19)</f>
        <v>1.0000000020669488</v>
      </c>
      <c r="AL19" s="51">
        <f>IMARGUMENT(AJ19)</f>
        <v>6.4295394851785837E-5</v>
      </c>
      <c r="AM19" s="51" t="e">
        <f t="shared" ref="AM19:AM82" si="57">IMSUB(COMPLEX(1,0),IMDIV(COMPLEX(0,2*PI()*O19),COMPLEX(wz2_dcm,0)))</f>
        <v>#NUM!</v>
      </c>
      <c r="AN19" s="51" t="e">
        <f>IMABS(AM19)</f>
        <v>#NUM!</v>
      </c>
      <c r="AO19" s="51" t="e">
        <f>IMARGUMENT(AM19)</f>
        <v>#NUM!</v>
      </c>
      <c r="AP19" s="60" t="e">
        <f>(IMDIV(IMPRODUCT(AF19,AJ19,AM19),IMPRODUCT(AG19)))</f>
        <v>#NUM!</v>
      </c>
      <c r="AQ19" s="51" t="e">
        <f>20*LOG(IMABS(AP19))</f>
        <v>#NUM!</v>
      </c>
      <c r="AR19" s="63" t="e">
        <f>(180/PI())*IMARGUMENT(AP19)</f>
        <v>#NUM!</v>
      </c>
      <c r="AS19" s="32" t="str">
        <f t="shared" ref="AS19:AS82" si="58">COMPLEX(Adc_ea,0)</f>
        <v>-0.000170731707317073</v>
      </c>
      <c r="AT19" s="32" t="str">
        <f t="shared" ref="AT19:AT82" si="59">COMPLEX(0,2*PI()*O19*wp0_ea)</f>
        <v>2.44322500773454E-06i</v>
      </c>
      <c r="AU19" s="32">
        <f>IMABS(AT19)</f>
        <v>2.4432250077345401E-6</v>
      </c>
      <c r="AV19" s="32">
        <f>IMARGUMENT(AT19)</f>
        <v>1.5707963267948966</v>
      </c>
      <c r="AW19" s="32" t="str">
        <f t="shared" ref="AW19:AW82" si="60">IMSUM(COMPLEX(1,0),IMDIV(COMPLEX(0,2*PI()*O19),COMPLEX(wp1_ea,0)))</f>
        <v>1+0.000520183584749243i</v>
      </c>
      <c r="AX19" s="32">
        <f>IMABS(AW19)</f>
        <v>1.0000001352954717</v>
      </c>
      <c r="AY19" s="32">
        <f>IMARGUMENT(AW19)</f>
        <v>5.2018353783025843E-4</v>
      </c>
      <c r="AZ19" s="32" t="str">
        <f t="shared" ref="AZ19:AZ82" si="61">IMSUM(COMPLEX(1,0),IMDIV(COMPLEX(0,2*PI()*O19),COMPLEX(wz_ea,0)))</f>
        <v>1+0.00988348811023563i</v>
      </c>
      <c r="BA19" s="32">
        <f>IMABS(AZ19)</f>
        <v>1.0000488404759167</v>
      </c>
      <c r="BB19" s="32">
        <f>IMARGUMENT(AZ19)</f>
        <v>9.8831663117286868E-3</v>
      </c>
      <c r="BC19" s="60" t="str">
        <f>IMPRODUCT(AS19,IMDIV(AZ19,IMPRODUCT(AT19,AW19)))</f>
        <v>-0.654304261840446+69.8799899102959i</v>
      </c>
      <c r="BD19" s="51">
        <f>20*LOG(IMABS(BC19))</f>
        <v>36.887437403854861</v>
      </c>
      <c r="BE19" s="63">
        <f>(180/PI())*IMARGUMENT(BC19)</f>
        <v>90.536459396598062</v>
      </c>
      <c r="BF19" s="60" t="str">
        <f>IMPRODUCT(AC19,BC19)</f>
        <v>41.0709711382262+1627.04127735028i</v>
      </c>
      <c r="BG19" s="66">
        <f>20*LOG(IMABS(BF19))</f>
        <v>64.230737843148233</v>
      </c>
      <c r="BH19" s="63">
        <f>(180/PI())*IMARGUMENT(BF19)</f>
        <v>88.554004919463168</v>
      </c>
      <c r="BI19" s="60" t="e">
        <f>IMPRODUCT(AP19,BC19)</f>
        <v>#NUM!</v>
      </c>
      <c r="BJ19" s="66" t="e">
        <f>20*LOG(IMABS(BI19))</f>
        <v>#NUM!</v>
      </c>
      <c r="BK19" s="63" t="e">
        <f>(180/PI())*IMARGUMENT(BI19)</f>
        <v>#NUM!</v>
      </c>
      <c r="BL19" s="51">
        <f>IF($B$31=0,BJ19,BG19)</f>
        <v>64.230737843148233</v>
      </c>
      <c r="BM19" s="63">
        <f>IF($B$31=0,BK19,BH19)</f>
        <v>88.554004919463168</v>
      </c>
    </row>
    <row r="20" spans="1:65" x14ac:dyDescent="0.3">
      <c r="A20" t="s">
        <v>33</v>
      </c>
      <c r="B20" s="45">
        <f>IOUT</f>
        <v>8</v>
      </c>
      <c r="C20" t="s">
        <v>11</v>
      </c>
      <c r="E20" t="s">
        <v>34</v>
      </c>
      <c r="N20" s="11">
        <v>2</v>
      </c>
      <c r="O20" s="52">
        <f t="shared" ref="O20:O83" si="62">10^(1+(N20/100))</f>
        <v>10.471285480509</v>
      </c>
      <c r="P20" s="50" t="str">
        <f t="shared" si="50"/>
        <v>23.3035714285714</v>
      </c>
      <c r="Q20" s="18" t="str">
        <f t="shared" si="51"/>
        <v>1+0.0352462645062948i</v>
      </c>
      <c r="R20" s="18">
        <f t="shared" ref="R20:R83" si="63">IMABS(Q20)</f>
        <v>1.000620956787158</v>
      </c>
      <c r="S20" s="18">
        <f t="shared" ref="S20:S83" si="64">IMARGUMENT(Q20)</f>
        <v>3.5231679907530768E-2</v>
      </c>
      <c r="T20" s="18" t="str">
        <f t="shared" si="52"/>
        <v>1+0.0000657930270784171i</v>
      </c>
      <c r="U20" s="18">
        <f t="shared" ref="U20:U83" si="65">IMABS(T20)</f>
        <v>1.0000000021643611</v>
      </c>
      <c r="V20" s="18">
        <f t="shared" ref="V20:V83" si="66">IMARGUMENT(T20)</f>
        <v>6.5793026983483859E-5</v>
      </c>
      <c r="W20" s="32" t="str">
        <f t="shared" si="53"/>
        <v>1-0.00016082739952502i</v>
      </c>
      <c r="X20" s="18">
        <f t="shared" ref="X20:X83" si="67">IMABS(W20)</f>
        <v>1.0000000129327262</v>
      </c>
      <c r="Y20" s="18">
        <f t="shared" ref="Y20:Y83" si="68">IMARGUMENT(W20)</f>
        <v>-1.6082739813839554E-4</v>
      </c>
      <c r="Z20" s="32" t="str">
        <f t="shared" si="54"/>
        <v>0.999999999561409+0.0000789335394116539i</v>
      </c>
      <c r="AA20" s="18">
        <f t="shared" ref="AA20:AA83" si="69">IMABS(Z20)</f>
        <v>1.0000000026766607</v>
      </c>
      <c r="AB20" s="18">
        <f t="shared" ref="AB20:AB83" si="70">IMARGUMENT(Z20)</f>
        <v>7.8933539282341546E-5</v>
      </c>
      <c r="AC20" s="68" t="str">
        <f t="shared" ref="AC20:AC83" si="71">(IMDIV(IMPRODUCT(P20,T20,W20),IMPRODUCT(Q20,Z20)))</f>
        <v>23.2745145644887-0.824393770252638i</v>
      </c>
      <c r="AD20" s="66">
        <f t="shared" ref="AD20:AD83" si="72">20*LOG(IMABS(AC20))</f>
        <v>27.343057913012778</v>
      </c>
      <c r="AE20" s="63">
        <f t="shared" ref="AE20:AE83" si="73">(180/PI())*IMARGUMENT(AC20)</f>
        <v>-2.028594190896142</v>
      </c>
      <c r="AF20" s="51" t="e">
        <f t="shared" ref="AF20:AF83" si="74">COMPLEX($B$68,0)</f>
        <v>#NUM!</v>
      </c>
      <c r="AG20" s="51" t="str">
        <f t="shared" si="55"/>
        <v>1-0.0493447703088129i</v>
      </c>
      <c r="AH20" s="51">
        <f t="shared" ref="AH20:AH83" si="75">IMABS(AG20)</f>
        <v>1.0012167129831731</v>
      </c>
      <c r="AI20" s="51">
        <f t="shared" ref="AI20:AI83" si="76">IMARGUMENT(AG20)</f>
        <v>-4.9304778753023741E-2</v>
      </c>
      <c r="AJ20" s="51" t="str">
        <f t="shared" si="56"/>
        <v>1+0.0000657930270784171i</v>
      </c>
      <c r="AK20" s="51">
        <f t="shared" ref="AK20:AK83" si="77">IMABS(AJ20)</f>
        <v>1.0000000021643611</v>
      </c>
      <c r="AL20" s="51">
        <f t="shared" ref="AL20:AL83" si="78">IMARGUMENT(AJ20)</f>
        <v>6.5793026983483859E-5</v>
      </c>
      <c r="AM20" s="51" t="e">
        <f t="shared" si="57"/>
        <v>#NUM!</v>
      </c>
      <c r="AN20" s="51" t="e">
        <f t="shared" ref="AN20:AN83" si="79">IMABS(AM20)</f>
        <v>#NUM!</v>
      </c>
      <c r="AO20" s="51" t="e">
        <f t="shared" ref="AO20:AO83" si="80">IMARGUMENT(AM20)</f>
        <v>#NUM!</v>
      </c>
      <c r="AP20" s="60" t="e">
        <f t="shared" ref="AP20:AP83" si="81">(IMDIV(IMPRODUCT(AF20,AJ20,AM20),IMPRODUCT(AG20)))</f>
        <v>#NUM!</v>
      </c>
      <c r="AQ20" s="51" t="e">
        <f t="shared" ref="AQ20:AQ83" si="82">20*LOG(IMABS(AP20))</f>
        <v>#NUM!</v>
      </c>
      <c r="AR20" s="63" t="e">
        <f t="shared" ref="AR20:AR83" si="83">(180/PI())*IMARGUMENT(AP20)</f>
        <v>#NUM!</v>
      </c>
      <c r="AS20" s="32" t="str">
        <f t="shared" si="58"/>
        <v>-0.000170731707317073</v>
      </c>
      <c r="AT20" s="32" t="str">
        <f t="shared" si="59"/>
        <v>2.50013502897985E-06i</v>
      </c>
      <c r="AU20" s="32">
        <f t="shared" ref="AU20:AU83" si="84">IMABS(AT20)</f>
        <v>2.5001350289798498E-6</v>
      </c>
      <c r="AV20" s="32">
        <f t="shared" ref="AV20:AV83" si="85">IMARGUMENT(AT20)</f>
        <v>1.5707963267948966</v>
      </c>
      <c r="AW20" s="32" t="str">
        <f t="shared" si="60"/>
        <v>1+0.000532300216973382i</v>
      </c>
      <c r="AX20" s="32">
        <f t="shared" ref="AX20:AX83" si="86">IMABS(AW20)</f>
        <v>1.0000001416717506</v>
      </c>
      <c r="AY20" s="32">
        <f t="shared" ref="AY20:AY83" si="87">IMARGUMENT(AW20)</f>
        <v>5.3230016669878464E-4</v>
      </c>
      <c r="AZ20" s="32" t="str">
        <f t="shared" si="61"/>
        <v>1+0.0101137041224943i</v>
      </c>
      <c r="BA20" s="32">
        <f t="shared" ref="BA20:BA83" si="88">IMABS(AZ20)</f>
        <v>1.0000511421977765</v>
      </c>
      <c r="BB20" s="32">
        <f t="shared" ref="BB20:BB83" si="89">IMARGUMENT(AZ20)</f>
        <v>1.0113359310134079E-2</v>
      </c>
      <c r="BC20" s="60" t="str">
        <f t="shared" ref="BC20:BC83" si="90">IMPRODUCT(AS20,IMDIV(AZ20,IMPRODUCT(AT20,AW20)))</f>
        <v>-0.654304253496394+68.2893428158187i</v>
      </c>
      <c r="BD20" s="51">
        <f t="shared" ref="BD20:BD83" si="91">20*LOG(IMABS(BC20))</f>
        <v>36.68745733997384</v>
      </c>
      <c r="BE20" s="63">
        <f t="shared" ref="BE20:BE83" si="92">(180/PI())*IMARGUMENT(BC20)</f>
        <v>90.548954252184075</v>
      </c>
      <c r="BF20" s="60" t="str">
        <f t="shared" ref="BF20:BF83" si="93">IMPRODUCT(AC20,BC20)</f>
        <v>41.0686949143989+1589.94070831657i</v>
      </c>
      <c r="BG20" s="66">
        <f t="shared" ref="BG20:BG83" si="94">20*LOG(IMABS(BF20))</f>
        <v>64.030515252986632</v>
      </c>
      <c r="BH20" s="63">
        <f t="shared" ref="BH20:BH83" si="95">(180/PI())*IMARGUMENT(BF20)</f>
        <v>88.520360061287946</v>
      </c>
      <c r="BI20" s="60" t="e">
        <f t="shared" ref="BI20:BI49" si="96">IMPRODUCT(AP20,BC20)</f>
        <v>#NUM!</v>
      </c>
      <c r="BJ20" s="66" t="e">
        <f t="shared" ref="BJ20:BJ83" si="97">20*LOG(IMABS(BI20))</f>
        <v>#NUM!</v>
      </c>
      <c r="BK20" s="63" t="e">
        <f t="shared" ref="BK20:BK49" si="98">(180/PI())*IMARGUMENT(BI20)</f>
        <v>#NUM!</v>
      </c>
      <c r="BL20" s="51">
        <f t="shared" ref="BL20:BL83" si="99">IF($B$31=0,BJ20,BG20)</f>
        <v>64.030515252986632</v>
      </c>
      <c r="BM20" s="63">
        <f t="shared" ref="BM20:BM83" si="100">IF($B$31=0,BK20,BH20)</f>
        <v>88.520360061287946</v>
      </c>
    </row>
    <row r="21" spans="1:65" s="32" customFormat="1" x14ac:dyDescent="0.3">
      <c r="A21"/>
      <c r="B21"/>
      <c r="C21"/>
      <c r="D21"/>
      <c r="E21"/>
      <c r="F21"/>
      <c r="G21"/>
      <c r="N21" s="11">
        <v>3</v>
      </c>
      <c r="O21" s="52">
        <f t="shared" si="62"/>
        <v>10.715193052376069</v>
      </c>
      <c r="P21" s="50" t="str">
        <f t="shared" si="50"/>
        <v>23.3035714285714</v>
      </c>
      <c r="Q21" s="18" t="str">
        <f t="shared" si="51"/>
        <v>1+0.0360672554733654i</v>
      </c>
      <c r="R21" s="18">
        <f t="shared" si="63"/>
        <v>1.0006502120708221</v>
      </c>
      <c r="S21" s="18">
        <f t="shared" si="64"/>
        <v>3.6051628342622558E-2</v>
      </c>
      <c r="T21" s="18" t="str">
        <f t="shared" si="52"/>
        <v>1+0.0000673255435502821i</v>
      </c>
      <c r="U21" s="18">
        <f t="shared" si="65"/>
        <v>1.0000000022663644</v>
      </c>
      <c r="V21" s="18">
        <f t="shared" si="66"/>
        <v>6.7325543448559289E-5</v>
      </c>
      <c r="W21" s="32" t="str">
        <f t="shared" si="53"/>
        <v>1-0.00016457355090069i</v>
      </c>
      <c r="X21" s="18">
        <f t="shared" si="67"/>
        <v>1.0000000135422267</v>
      </c>
      <c r="Y21" s="18">
        <f t="shared" si="68"/>
        <v>-1.6457354941489511E-4</v>
      </c>
      <c r="Z21" s="32" t="str">
        <f t="shared" si="54"/>
        <v>0.999999999540739+0.0000807721377358622i</v>
      </c>
      <c r="AA21" s="18">
        <f t="shared" si="69"/>
        <v>1.000000002802808</v>
      </c>
      <c r="AB21" s="18">
        <f t="shared" si="70"/>
        <v>8.0772137597301492E-5</v>
      </c>
      <c r="AC21" s="68" t="str">
        <f t="shared" si="71"/>
        <v>23.2731469357492-0.843547041364141i</v>
      </c>
      <c r="AD21" s="66">
        <f t="shared" si="72"/>
        <v>27.342803971336473</v>
      </c>
      <c r="AE21" s="63">
        <f t="shared" si="73"/>
        <v>-2.0758059515010037</v>
      </c>
      <c r="AF21" s="51" t="e">
        <f t="shared" si="74"/>
        <v>#NUM!</v>
      </c>
      <c r="AG21" s="51" t="str">
        <f t="shared" si="55"/>
        <v>1-0.0504941576627117i</v>
      </c>
      <c r="AH21" s="51">
        <f t="shared" si="75"/>
        <v>1.0012740184175692</v>
      </c>
      <c r="AI21" s="51">
        <f t="shared" si="76"/>
        <v>-5.045130888289058E-2</v>
      </c>
      <c r="AJ21" s="51" t="str">
        <f t="shared" si="56"/>
        <v>1+0.0000673255435502821i</v>
      </c>
      <c r="AK21" s="51">
        <f t="shared" si="77"/>
        <v>1.0000000022663644</v>
      </c>
      <c r="AL21" s="51">
        <f t="shared" si="78"/>
        <v>6.7325543448559289E-5</v>
      </c>
      <c r="AM21" s="51" t="e">
        <f t="shared" si="57"/>
        <v>#NUM!</v>
      </c>
      <c r="AN21" s="51" t="e">
        <f t="shared" si="79"/>
        <v>#NUM!</v>
      </c>
      <c r="AO21" s="51" t="e">
        <f t="shared" si="80"/>
        <v>#NUM!</v>
      </c>
      <c r="AP21" s="60" t="e">
        <f t="shared" si="81"/>
        <v>#NUM!</v>
      </c>
      <c r="AQ21" s="51" t="e">
        <f t="shared" si="82"/>
        <v>#NUM!</v>
      </c>
      <c r="AR21" s="63" t="e">
        <f t="shared" si="83"/>
        <v>#NUM!</v>
      </c>
      <c r="AS21" s="32" t="str">
        <f t="shared" si="58"/>
        <v>-0.000170731707317073</v>
      </c>
      <c r="AT21" s="32" t="str">
        <f t="shared" si="59"/>
        <v>2.55837065491072E-06i</v>
      </c>
      <c r="AU21" s="32">
        <f t="shared" si="84"/>
        <v>2.5583706549107201E-6</v>
      </c>
      <c r="AV21" s="32">
        <f t="shared" si="85"/>
        <v>1.5707963267948966</v>
      </c>
      <c r="AW21" s="32" t="str">
        <f t="shared" si="60"/>
        <v>1+0.000544699081818387i</v>
      </c>
      <c r="AX21" s="32">
        <f t="shared" si="86"/>
        <v>1.0000001483485339</v>
      </c>
      <c r="AY21" s="32">
        <f t="shared" si="87"/>
        <v>5.4469902794818581E-4</v>
      </c>
      <c r="AZ21" s="32" t="str">
        <f t="shared" si="61"/>
        <v>1+0.0103492825545494i</v>
      </c>
      <c r="BA21" s="32">
        <f t="shared" si="88"/>
        <v>1.0000535523907677</v>
      </c>
      <c r="BB21" s="32">
        <f t="shared" si="89"/>
        <v>1.0348913082517302E-2</v>
      </c>
      <c r="BC21" s="60" t="str">
        <f t="shared" si="90"/>
        <v>-0.6543042447591+66.7349036348186i</v>
      </c>
      <c r="BD21" s="51">
        <f t="shared" si="91"/>
        <v>36.48747821555456</v>
      </c>
      <c r="BE21" s="63">
        <f t="shared" si="92"/>
        <v>90.56174008676966</v>
      </c>
      <c r="BF21" s="60" t="str">
        <f t="shared" si="93"/>
        <v>41.0663116879093+1553.68315444602i</v>
      </c>
      <c r="BG21" s="66">
        <f t="shared" si="94"/>
        <v>63.830282186891054</v>
      </c>
      <c r="BH21" s="63">
        <f t="shared" si="95"/>
        <v>88.48593413526865</v>
      </c>
      <c r="BI21" s="60" t="e">
        <f t="shared" si="96"/>
        <v>#NUM!</v>
      </c>
      <c r="BJ21" s="66" t="e">
        <f t="shared" si="97"/>
        <v>#NUM!</v>
      </c>
      <c r="BK21" s="63" t="e">
        <f t="shared" si="98"/>
        <v>#NUM!</v>
      </c>
      <c r="BL21" s="51">
        <f t="shared" si="99"/>
        <v>63.830282186891054</v>
      </c>
      <c r="BM21" s="63">
        <f t="shared" si="100"/>
        <v>88.48593413526865</v>
      </c>
    </row>
    <row r="22" spans="1:65" x14ac:dyDescent="0.3">
      <c r="A22" t="s">
        <v>168</v>
      </c>
      <c r="N22" s="11">
        <v>4</v>
      </c>
      <c r="O22" s="52">
        <f t="shared" si="62"/>
        <v>10.964781961431854</v>
      </c>
      <c r="P22" s="50" t="str">
        <f t="shared" si="50"/>
        <v>23.3035714285714</v>
      </c>
      <c r="Q22" s="18" t="str">
        <f t="shared" si="51"/>
        <v>1+0.0369073697766944i</v>
      </c>
      <c r="R22" s="18">
        <f t="shared" si="63"/>
        <v>1.0006808451968259</v>
      </c>
      <c r="S22" s="18">
        <f t="shared" si="64"/>
        <v>3.6890625619671255E-2</v>
      </c>
      <c r="T22" s="18" t="str">
        <f t="shared" si="52"/>
        <v>1+0.0000688937569164964i</v>
      </c>
      <c r="U22" s="18">
        <f t="shared" si="65"/>
        <v>1.0000000023731748</v>
      </c>
      <c r="V22" s="18">
        <f t="shared" si="66"/>
        <v>6.8893756807498444E-5</v>
      </c>
      <c r="W22" s="32" t="str">
        <f t="shared" si="53"/>
        <v>1-0.000168406961351436i</v>
      </c>
      <c r="X22" s="18">
        <f t="shared" si="67"/>
        <v>1.0000000141804524</v>
      </c>
      <c r="Y22" s="18">
        <f t="shared" si="68"/>
        <v>-1.6840695975937811E-4</v>
      </c>
      <c r="Z22" s="32" t="str">
        <f t="shared" si="54"/>
        <v>0.999999999519094+0.0000826535625166436i</v>
      </c>
      <c r="AA22" s="18">
        <f t="shared" si="69"/>
        <v>1.0000000029348997</v>
      </c>
      <c r="AB22" s="18">
        <f t="shared" si="70"/>
        <v>8.2653562368173184E-5</v>
      </c>
      <c r="AC22" s="68" t="str">
        <f t="shared" si="71"/>
        <v>23.2717150240614-0.863142927992772i</v>
      </c>
      <c r="AD22" s="66">
        <f t="shared" si="72"/>
        <v>27.342538077672039</v>
      </c>
      <c r="AE22" s="63">
        <f t="shared" si="73"/>
        <v>-2.1241145384247426</v>
      </c>
      <c r="AF22" s="51" t="e">
        <f t="shared" si="74"/>
        <v>#NUM!</v>
      </c>
      <c r="AG22" s="51" t="str">
        <f t="shared" si="55"/>
        <v>1-0.0516703176873724i</v>
      </c>
      <c r="AH22" s="51">
        <f t="shared" si="75"/>
        <v>1.0013340210588642</v>
      </c>
      <c r="AI22" s="51">
        <f t="shared" si="76"/>
        <v>-5.1624407695541899E-2</v>
      </c>
      <c r="AJ22" s="51" t="str">
        <f t="shared" si="56"/>
        <v>1+0.0000688937569164964i</v>
      </c>
      <c r="AK22" s="51">
        <f t="shared" si="77"/>
        <v>1.0000000023731748</v>
      </c>
      <c r="AL22" s="51">
        <f t="shared" si="78"/>
        <v>6.8893756807498444E-5</v>
      </c>
      <c r="AM22" s="51" t="e">
        <f t="shared" si="57"/>
        <v>#NUM!</v>
      </c>
      <c r="AN22" s="51" t="e">
        <f t="shared" si="79"/>
        <v>#NUM!</v>
      </c>
      <c r="AO22" s="51" t="e">
        <f t="shared" si="80"/>
        <v>#NUM!</v>
      </c>
      <c r="AP22" s="60" t="e">
        <f t="shared" si="81"/>
        <v>#NUM!</v>
      </c>
      <c r="AQ22" s="51" t="e">
        <f t="shared" si="82"/>
        <v>#NUM!</v>
      </c>
      <c r="AR22" s="63" t="e">
        <f t="shared" si="83"/>
        <v>#NUM!</v>
      </c>
      <c r="AS22" s="32" t="str">
        <f t="shared" si="58"/>
        <v>-0.000170731707317073</v>
      </c>
      <c r="AT22" s="32" t="str">
        <f t="shared" si="59"/>
        <v>2.61796276282686E-06i</v>
      </c>
      <c r="AU22" s="32">
        <f t="shared" si="84"/>
        <v>2.61796276282686E-6</v>
      </c>
      <c r="AV22" s="32">
        <f t="shared" si="85"/>
        <v>1.5707963267948966</v>
      </c>
      <c r="AW22" s="32" t="str">
        <f t="shared" si="60"/>
        <v>1+0.000557386753326517i</v>
      </c>
      <c r="AX22" s="32">
        <f t="shared" si="86"/>
        <v>1.0000001553399844</v>
      </c>
      <c r="AY22" s="32">
        <f t="shared" si="87"/>
        <v>5.5738669560355695E-4</v>
      </c>
      <c r="AZ22" s="32" t="str">
        <f t="shared" si="61"/>
        <v>1+0.0105903483132038i</v>
      </c>
      <c r="BA22" s="32">
        <f t="shared" si="88"/>
        <v>1.0000560761664292</v>
      </c>
      <c r="BB22" s="32">
        <f t="shared" si="89"/>
        <v>1.0589952417987601E-2</v>
      </c>
      <c r="BC22" s="60" t="str">
        <f t="shared" si="90"/>
        <v>-0.654304235610027+65.2158481830663i</v>
      </c>
      <c r="BD22" s="51">
        <f t="shared" si="91"/>
        <v>36.287500074862969</v>
      </c>
      <c r="BE22" s="63">
        <f t="shared" si="92"/>
        <v>90.574823673580212</v>
      </c>
      <c r="BF22" s="60" t="str">
        <f t="shared" si="93"/>
        <v>41.0638164421111+1518.24939204249i</v>
      </c>
      <c r="BG22" s="66">
        <f t="shared" si="94"/>
        <v>63.630038152534986</v>
      </c>
      <c r="BH22" s="63">
        <f t="shared" si="95"/>
        <v>88.450709135155478</v>
      </c>
      <c r="BI22" s="60" t="e">
        <f t="shared" si="96"/>
        <v>#NUM!</v>
      </c>
      <c r="BJ22" s="66" t="e">
        <f t="shared" si="97"/>
        <v>#NUM!</v>
      </c>
      <c r="BK22" s="63" t="e">
        <f t="shared" si="98"/>
        <v>#NUM!</v>
      </c>
      <c r="BL22" s="51">
        <f t="shared" si="99"/>
        <v>63.630038152534986</v>
      </c>
      <c r="BM22" s="63">
        <f t="shared" si="100"/>
        <v>88.450709135155478</v>
      </c>
    </row>
    <row r="23" spans="1:65" x14ac:dyDescent="0.3">
      <c r="A23" t="s">
        <v>169</v>
      </c>
      <c r="B23" s="45">
        <f>Lm</f>
        <v>3.2999999999999997E-6</v>
      </c>
      <c r="C23" t="s">
        <v>86</v>
      </c>
      <c r="E23" t="s">
        <v>170</v>
      </c>
      <c r="N23" s="11">
        <v>5</v>
      </c>
      <c r="O23" s="52">
        <f t="shared" si="62"/>
        <v>11.220184543019636</v>
      </c>
      <c r="P23" s="50" t="str">
        <f t="shared" si="50"/>
        <v>23.3035714285714</v>
      </c>
      <c r="Q23" s="18" t="str">
        <f t="shared" si="51"/>
        <v>1+0.0377670528560059i</v>
      </c>
      <c r="R23" s="18">
        <f t="shared" si="63"/>
        <v>1.000712921012529</v>
      </c>
      <c r="S23" s="18">
        <f t="shared" si="64"/>
        <v>3.7749111858769412E-2</v>
      </c>
      <c r="T23" s="18" t="str">
        <f t="shared" si="52"/>
        <v>1+0.0000704984986645445i</v>
      </c>
      <c r="U23" s="18">
        <f t="shared" si="65"/>
        <v>1.0000000024850191</v>
      </c>
      <c r="V23" s="18">
        <f t="shared" si="66"/>
        <v>7.0498498547751085E-5</v>
      </c>
      <c r="W23" s="32" t="str">
        <f t="shared" si="53"/>
        <v>1-0.00017232966340222i</v>
      </c>
      <c r="X23" s="18">
        <f t="shared" si="67"/>
        <v>1.0000000148487564</v>
      </c>
      <c r="Y23" s="18">
        <f t="shared" si="68"/>
        <v>-1.7232966169629922E-4</v>
      </c>
      <c r="Z23" s="32" t="str">
        <f t="shared" si="54"/>
        <v>0.99999999949643+0.0000845788113103206i</v>
      </c>
      <c r="AA23" s="18">
        <f t="shared" si="69"/>
        <v>1.0000000030732175</v>
      </c>
      <c r="AB23" s="18">
        <f t="shared" si="70"/>
        <v>8.4578811151231662E-5</v>
      </c>
      <c r="AC23" s="68" t="str">
        <f t="shared" si="71"/>
        <v>23.2702158163661-0.883191488895246i</v>
      </c>
      <c r="AD23" s="66">
        <f t="shared" si="72"/>
        <v>27.342259670272956</v>
      </c>
      <c r="AE23" s="63">
        <f t="shared" si="73"/>
        <v>-2.173545294661253</v>
      </c>
      <c r="AF23" s="51" t="e">
        <f t="shared" si="74"/>
        <v>#NUM!</v>
      </c>
      <c r="AG23" s="51" t="str">
        <f t="shared" si="55"/>
        <v>1-0.0528738739984085i</v>
      </c>
      <c r="AH23" s="51">
        <f t="shared" si="75"/>
        <v>1.0013968476840736</v>
      </c>
      <c r="AI23" s="51">
        <f t="shared" si="76"/>
        <v>-5.2824684261184293E-2</v>
      </c>
      <c r="AJ23" s="51" t="str">
        <f t="shared" si="56"/>
        <v>1+0.0000704984986645445i</v>
      </c>
      <c r="AK23" s="51">
        <f t="shared" si="77"/>
        <v>1.0000000024850191</v>
      </c>
      <c r="AL23" s="51">
        <f t="shared" si="78"/>
        <v>7.0498498547751085E-5</v>
      </c>
      <c r="AM23" s="51" t="e">
        <f t="shared" si="57"/>
        <v>#NUM!</v>
      </c>
      <c r="AN23" s="51" t="e">
        <f t="shared" si="79"/>
        <v>#NUM!</v>
      </c>
      <c r="AO23" s="51" t="e">
        <f t="shared" si="80"/>
        <v>#NUM!</v>
      </c>
      <c r="AP23" s="60" t="e">
        <f t="shared" si="81"/>
        <v>#NUM!</v>
      </c>
      <c r="AQ23" s="51" t="e">
        <f t="shared" si="82"/>
        <v>#NUM!</v>
      </c>
      <c r="AR23" s="63" t="e">
        <f t="shared" si="83"/>
        <v>#NUM!</v>
      </c>
      <c r="AS23" s="32" t="str">
        <f t="shared" si="58"/>
        <v>-0.000170731707317073</v>
      </c>
      <c r="AT23" s="32" t="str">
        <f t="shared" si="59"/>
        <v>2.67894294925269E-06i</v>
      </c>
      <c r="AU23" s="32">
        <f t="shared" si="84"/>
        <v>2.67894294925269E-6</v>
      </c>
      <c r="AV23" s="32">
        <f t="shared" si="85"/>
        <v>1.5707963267948966</v>
      </c>
      <c r="AW23" s="32" t="str">
        <f t="shared" si="60"/>
        <v>1+0.000570369958669146i</v>
      </c>
      <c r="AX23" s="32">
        <f t="shared" si="86"/>
        <v>1.0000001626609316</v>
      </c>
      <c r="AY23" s="32">
        <f t="shared" si="87"/>
        <v>5.7036989681788042E-4</v>
      </c>
      <c r="AZ23" s="32" t="str">
        <f t="shared" si="61"/>
        <v>1+0.0108370292147138i</v>
      </c>
      <c r="BA23" s="32">
        <f t="shared" si="88"/>
        <v>1.000058718877147</v>
      </c>
      <c r="BB23" s="32">
        <f t="shared" si="89"/>
        <v>1.0836605006692012E-2</v>
      </c>
      <c r="BC23" s="60" t="str">
        <f t="shared" si="90"/>
        <v>-0.654304226029777+63.7313710372537i</v>
      </c>
      <c r="BD23" s="51">
        <f t="shared" si="91"/>
        <v>36.087522964250226</v>
      </c>
      <c r="BE23" s="63">
        <f t="shared" si="92"/>
        <v>90.588211943284819</v>
      </c>
      <c r="BF23" s="60" t="str">
        <f t="shared" si="93"/>
        <v>41.0612039264542+1483.62063423338i</v>
      </c>
      <c r="BG23" s="66">
        <f t="shared" si="94"/>
        <v>63.429782634523207</v>
      </c>
      <c r="BH23" s="63">
        <f t="shared" si="95"/>
        <v>88.414666648623566</v>
      </c>
      <c r="BI23" s="60" t="e">
        <f t="shared" si="96"/>
        <v>#NUM!</v>
      </c>
      <c r="BJ23" s="66" t="e">
        <f t="shared" si="97"/>
        <v>#NUM!</v>
      </c>
      <c r="BK23" s="63" t="e">
        <f t="shared" si="98"/>
        <v>#NUM!</v>
      </c>
      <c r="BL23" s="51">
        <f t="shared" si="99"/>
        <v>63.429782634523207</v>
      </c>
      <c r="BM23" s="63">
        <f t="shared" si="100"/>
        <v>88.414666648623566</v>
      </c>
    </row>
    <row r="24" spans="1:65" x14ac:dyDescent="0.3">
      <c r="A24" s="32"/>
      <c r="B24" s="32"/>
      <c r="C24" s="32"/>
      <c r="D24" s="32"/>
      <c r="E24" s="32"/>
      <c r="F24" s="32"/>
      <c r="G24" s="32"/>
      <c r="N24" s="11">
        <v>6</v>
      </c>
      <c r="O24" s="52">
        <f t="shared" si="62"/>
        <v>11.481536214968834</v>
      </c>
      <c r="P24" s="50" t="str">
        <f t="shared" si="50"/>
        <v>23.3035714285714</v>
      </c>
      <c r="Q24" s="18" t="str">
        <f t="shared" si="51"/>
        <v>1+0.0386467605266477i</v>
      </c>
      <c r="R24" s="18">
        <f t="shared" si="63"/>
        <v>1.0007465074129431</v>
      </c>
      <c r="S24" s="18">
        <f t="shared" si="64"/>
        <v>3.8627537176169638E-2</v>
      </c>
      <c r="T24" s="18" t="str">
        <f t="shared" si="52"/>
        <v>1+0.0000721406196497425i</v>
      </c>
      <c r="U24" s="18">
        <f t="shared" si="65"/>
        <v>1.0000000026021345</v>
      </c>
      <c r="V24" s="18">
        <f t="shared" si="66"/>
        <v>7.2140619524596104E-5</v>
      </c>
      <c r="W24" s="32" t="str">
        <f t="shared" si="53"/>
        <v>1-0.000176343736921593i</v>
      </c>
      <c r="X24" s="18">
        <f t="shared" si="67"/>
        <v>1.0000000155485567</v>
      </c>
      <c r="Y24" s="18">
        <f t="shared" si="68"/>
        <v>-1.7634373509366598E-4</v>
      </c>
      <c r="Z24" s="32" t="str">
        <f t="shared" si="54"/>
        <v>0.999999999472697+0.0000865489049092873i</v>
      </c>
      <c r="AA24" s="18">
        <f t="shared" si="69"/>
        <v>1.0000000032180534</v>
      </c>
      <c r="AB24" s="18">
        <f t="shared" si="70"/>
        <v>8.6548904738820468E-5</v>
      </c>
      <c r="AC24" s="68" t="str">
        <f t="shared" si="71"/>
        <v>23.2686461591897-0.903702999263316i</v>
      </c>
      <c r="AD24" s="66">
        <f t="shared" si="72"/>
        <v>27.341968161065875</v>
      </c>
      <c r="AE24" s="63">
        <f t="shared" si="73"/>
        <v>-2.224124138876443</v>
      </c>
      <c r="AF24" s="51" t="e">
        <f t="shared" si="74"/>
        <v>#NUM!</v>
      </c>
      <c r="AG24" s="51" t="str">
        <f t="shared" si="55"/>
        <v>1-0.054105464737307i</v>
      </c>
      <c r="AH24" s="51">
        <f t="shared" si="75"/>
        <v>1.0014626310124808</v>
      </c>
      <c r="AI24" s="51">
        <f t="shared" si="76"/>
        <v>-5.4052761140932361E-2</v>
      </c>
      <c r="AJ24" s="51" t="str">
        <f t="shared" si="56"/>
        <v>1+0.0000721406196497425i</v>
      </c>
      <c r="AK24" s="51">
        <f t="shared" si="77"/>
        <v>1.0000000026021345</v>
      </c>
      <c r="AL24" s="51">
        <f t="shared" si="78"/>
        <v>7.2140619524596104E-5</v>
      </c>
      <c r="AM24" s="51" t="e">
        <f t="shared" si="57"/>
        <v>#NUM!</v>
      </c>
      <c r="AN24" s="51" t="e">
        <f t="shared" si="79"/>
        <v>#NUM!</v>
      </c>
      <c r="AO24" s="51" t="e">
        <f t="shared" si="80"/>
        <v>#NUM!</v>
      </c>
      <c r="AP24" s="60" t="e">
        <f t="shared" si="81"/>
        <v>#NUM!</v>
      </c>
      <c r="AQ24" s="51" t="e">
        <f t="shared" si="82"/>
        <v>#NUM!</v>
      </c>
      <c r="AR24" s="63" t="e">
        <f t="shared" si="83"/>
        <v>#NUM!</v>
      </c>
      <c r="AS24" s="32" t="str">
        <f t="shared" si="58"/>
        <v>-0.000170731707317073</v>
      </c>
      <c r="AT24" s="32" t="str">
        <f t="shared" si="59"/>
        <v>2.74134354669022E-06i</v>
      </c>
      <c r="AU24" s="32">
        <f t="shared" si="84"/>
        <v>2.7413435466902202E-6</v>
      </c>
      <c r="AV24" s="32">
        <f t="shared" si="85"/>
        <v>1.5707963267948966</v>
      </c>
      <c r="AW24" s="32" t="str">
        <f t="shared" si="60"/>
        <v>1+0.0005836555817136i</v>
      </c>
      <c r="AX24" s="32">
        <f t="shared" si="86"/>
        <v>1.0000001703269046</v>
      </c>
      <c r="AY24" s="32">
        <f t="shared" si="87"/>
        <v>5.8365551543877552E-4</v>
      </c>
      <c r="AZ24" s="32" t="str">
        <f t="shared" si="61"/>
        <v>1+0.0110894560525584i</v>
      </c>
      <c r="BA24" s="32">
        <f t="shared" si="88"/>
        <v>1.000061486127499</v>
      </c>
      <c r="BB24" s="32">
        <f t="shared" si="89"/>
        <v>1.1089001506982971E-2</v>
      </c>
      <c r="BC24" s="60" t="str">
        <f t="shared" si="90"/>
        <v>-0.654304215998019+62.2806851079488i</v>
      </c>
      <c r="BD24" s="51">
        <f t="shared" si="91"/>
        <v>35.887546932251027</v>
      </c>
      <c r="BE24" s="63">
        <f t="shared" si="92"/>
        <v>90.60191198764015</v>
      </c>
      <c r="BF24" s="60" t="str">
        <f t="shared" si="93"/>
        <v>41.0584686457035+1449.7785210112i</v>
      </c>
      <c r="BG24" s="66">
        <f t="shared" si="94"/>
        <v>63.229515093316877</v>
      </c>
      <c r="BH24" s="63">
        <f t="shared" si="95"/>
        <v>88.377787848763717</v>
      </c>
      <c r="BI24" s="60" t="e">
        <f t="shared" si="96"/>
        <v>#NUM!</v>
      </c>
      <c r="BJ24" s="66" t="e">
        <f t="shared" si="97"/>
        <v>#NUM!</v>
      </c>
      <c r="BK24" s="63" t="e">
        <f t="shared" si="98"/>
        <v>#NUM!</v>
      </c>
      <c r="BL24" s="51">
        <f t="shared" si="99"/>
        <v>63.229515093316877</v>
      </c>
      <c r="BM24" s="63">
        <f t="shared" si="100"/>
        <v>88.377787848763717</v>
      </c>
    </row>
    <row r="25" spans="1:65" x14ac:dyDescent="0.3">
      <c r="A25" t="s">
        <v>130</v>
      </c>
      <c r="B25" s="45">
        <f>R_cs</f>
        <v>4.0000000000000001E-3</v>
      </c>
      <c r="C25" s="2" t="s">
        <v>36</v>
      </c>
      <c r="E25" t="s">
        <v>171</v>
      </c>
      <c r="N25" s="11">
        <v>7</v>
      </c>
      <c r="O25" s="52">
        <f t="shared" si="62"/>
        <v>11.748975549395301</v>
      </c>
      <c r="P25" s="50" t="str">
        <f t="shared" si="50"/>
        <v>23.3035714285714</v>
      </c>
      <c r="Q25" s="18" t="str">
        <f t="shared" si="51"/>
        <v>1+0.0395469592212711i</v>
      </c>
      <c r="R25" s="18">
        <f t="shared" si="63"/>
        <v>1.0007816754835437</v>
      </c>
      <c r="S25" s="18">
        <f t="shared" si="64"/>
        <v>3.9526361898946309E-2</v>
      </c>
      <c r="T25" s="18" t="str">
        <f t="shared" si="52"/>
        <v>1+0.0000738209905463728i</v>
      </c>
      <c r="U25" s="18">
        <f t="shared" si="65"/>
        <v>1.0000000027247693</v>
      </c>
      <c r="V25" s="18">
        <f t="shared" si="66"/>
        <v>7.3820990412276017E-5</v>
      </c>
      <c r="W25" s="32" t="str">
        <f t="shared" si="53"/>
        <v>1-0.000180451310224467i</v>
      </c>
      <c r="X25" s="18">
        <f t="shared" si="67"/>
        <v>1.0000000162813376</v>
      </c>
      <c r="Y25" s="18">
        <f t="shared" si="68"/>
        <v>-1.8045130826580788E-4</v>
      </c>
      <c r="Z25" s="32" t="str">
        <f t="shared" si="54"/>
        <v>0.999999999447846+0.0000885648878832471i</v>
      </c>
      <c r="AA25" s="18">
        <f t="shared" si="69"/>
        <v>1.0000000033697156</v>
      </c>
      <c r="AB25" s="18">
        <f t="shared" si="70"/>
        <v>8.8564887700588588E-5</v>
      </c>
      <c r="AC25" s="68" t="str">
        <f t="shared" si="71"/>
        <v>23.2670027521796-0.924687954499033i</v>
      </c>
      <c r="AD25" s="66">
        <f t="shared" si="72"/>
        <v>27.341662934424306</v>
      </c>
      <c r="AE25" s="63">
        <f t="shared" si="73"/>
        <v>-2.2758775777757609</v>
      </c>
      <c r="AF25" s="51" t="e">
        <f t="shared" si="74"/>
        <v>#NUM!</v>
      </c>
      <c r="AG25" s="51" t="str">
        <f t="shared" si="55"/>
        <v>1-0.0553657429097797i</v>
      </c>
      <c r="AH25" s="51">
        <f t="shared" si="75"/>
        <v>1.0015315099825626</v>
      </c>
      <c r="AI25" s="51">
        <f t="shared" si="76"/>
        <v>-5.5309274651785166E-2</v>
      </c>
      <c r="AJ25" s="51" t="str">
        <f t="shared" si="56"/>
        <v>1+0.0000738209905463728i</v>
      </c>
      <c r="AK25" s="51">
        <f t="shared" si="77"/>
        <v>1.0000000027247693</v>
      </c>
      <c r="AL25" s="51">
        <f t="shared" si="78"/>
        <v>7.3820990412276017E-5</v>
      </c>
      <c r="AM25" s="51" t="e">
        <f t="shared" si="57"/>
        <v>#NUM!</v>
      </c>
      <c r="AN25" s="51" t="e">
        <f t="shared" si="79"/>
        <v>#NUM!</v>
      </c>
      <c r="AO25" s="51" t="e">
        <f t="shared" si="80"/>
        <v>#NUM!</v>
      </c>
      <c r="AP25" s="60" t="e">
        <f t="shared" si="81"/>
        <v>#NUM!</v>
      </c>
      <c r="AQ25" s="51" t="e">
        <f t="shared" si="82"/>
        <v>#NUM!</v>
      </c>
      <c r="AR25" s="63" t="e">
        <f t="shared" si="83"/>
        <v>#NUM!</v>
      </c>
      <c r="AS25" s="32" t="str">
        <f t="shared" si="58"/>
        <v>-0.000170731707317073</v>
      </c>
      <c r="AT25" s="32" t="str">
        <f t="shared" si="59"/>
        <v>2.80519764076217E-06i</v>
      </c>
      <c r="AU25" s="32">
        <f t="shared" si="84"/>
        <v>2.8051976407621702E-6</v>
      </c>
      <c r="AV25" s="32">
        <f t="shared" si="85"/>
        <v>1.5707963267948966</v>
      </c>
      <c r="AW25" s="32" t="str">
        <f t="shared" si="60"/>
        <v>1+0.000597250666673074i</v>
      </c>
      <c r="AX25" s="32">
        <f t="shared" si="86"/>
        <v>1.0000001783541634</v>
      </c>
      <c r="AY25" s="32">
        <f t="shared" si="87"/>
        <v>5.9725059565832075E-4</v>
      </c>
      <c r="AZ25" s="32" t="str">
        <f t="shared" si="61"/>
        <v>1+0.0113477626667884i</v>
      </c>
      <c r="BA25" s="32">
        <f t="shared" si="88"/>
        <v>1.0000643837861349</v>
      </c>
      <c r="BB25" s="32">
        <f t="shared" si="89"/>
        <v>1.1347275614122725E-2</v>
      </c>
      <c r="BC25" s="60" t="str">
        <f t="shared" si="90"/>
        <v>-0.654304205493481+60.8630212222701i</v>
      </c>
      <c r="BD25" s="51">
        <f t="shared" si="91"/>
        <v>35.687572029686379</v>
      </c>
      <c r="BE25" s="63">
        <f t="shared" si="92"/>
        <v>90.615931063218056</v>
      </c>
      <c r="BF25" s="60" t="str">
        <f t="shared" si="93"/>
        <v>41.0556048486727+1416.70510950192i</v>
      </c>
      <c r="BG25" s="66">
        <f t="shared" si="94"/>
        <v>63.029234964110678</v>
      </c>
      <c r="BH25" s="63">
        <f t="shared" si="95"/>
        <v>88.340053485442297</v>
      </c>
      <c r="BI25" s="60" t="e">
        <f t="shared" si="96"/>
        <v>#NUM!</v>
      </c>
      <c r="BJ25" s="66" t="e">
        <f t="shared" si="97"/>
        <v>#NUM!</v>
      </c>
      <c r="BK25" s="63" t="e">
        <f t="shared" si="98"/>
        <v>#NUM!</v>
      </c>
      <c r="BL25" s="51">
        <f t="shared" si="99"/>
        <v>63.029234964110678</v>
      </c>
      <c r="BM25" s="63">
        <f t="shared" si="100"/>
        <v>88.340053485442297</v>
      </c>
    </row>
    <row r="26" spans="1:65" s="32" customFormat="1" x14ac:dyDescent="0.3">
      <c r="A26" t="s">
        <v>131</v>
      </c>
      <c r="B26" s="45">
        <f>R_sl</f>
        <v>0</v>
      </c>
      <c r="C26" s="2" t="s">
        <v>36</v>
      </c>
      <c r="D26"/>
      <c r="E26" t="s">
        <v>172</v>
      </c>
      <c r="F26"/>
      <c r="G26"/>
      <c r="K26"/>
      <c r="N26" s="11">
        <v>8</v>
      </c>
      <c r="O26" s="52">
        <f t="shared" si="62"/>
        <v>12.022644346174133</v>
      </c>
      <c r="P26" s="50" t="str">
        <f t="shared" si="50"/>
        <v>23.3035714285714</v>
      </c>
      <c r="Q26" s="18" t="str">
        <f t="shared" si="51"/>
        <v>1+0.0404681262371394i</v>
      </c>
      <c r="R26" s="18">
        <f t="shared" si="63"/>
        <v>1.0008184996497342</v>
      </c>
      <c r="S26" s="18">
        <f t="shared" si="64"/>
        <v>4.0446056783368343E-2</v>
      </c>
      <c r="T26" s="18" t="str">
        <f t="shared" si="52"/>
        <v>1+0.000075540502309327i</v>
      </c>
      <c r="U26" s="18">
        <f t="shared" si="65"/>
        <v>1.0000000028531837</v>
      </c>
      <c r="V26" s="18">
        <f t="shared" si="66"/>
        <v>7.5540502165639703E-5</v>
      </c>
      <c r="W26" s="32" t="str">
        <f t="shared" si="53"/>
        <v>1-0.000184654561200577i</v>
      </c>
      <c r="X26" s="18">
        <f t="shared" si="67"/>
        <v>1.0000000170486534</v>
      </c>
      <c r="Y26" s="18">
        <f t="shared" si="68"/>
        <v>-1.8465455910183595E-4</v>
      </c>
      <c r="Z26" s="32" t="str">
        <f t="shared" si="54"/>
        <v>0.999999999421824+0.0000906278291330573i</v>
      </c>
      <c r="AA26" s="18">
        <f t="shared" si="69"/>
        <v>1.0000000035285257</v>
      </c>
      <c r="AB26" s="18">
        <f t="shared" si="70"/>
        <v>9.0627828937335153E-5</v>
      </c>
      <c r="AC26" s="68" t="str">
        <f t="shared" si="71"/>
        <v>23.2652821413484-0.946157073988747i</v>
      </c>
      <c r="AD26" s="66">
        <f t="shared" si="72"/>
        <v>27.341343345885413</v>
      </c>
      <c r="AE26" s="63">
        <f t="shared" si="73"/>
        <v>-2.3288327186860229</v>
      </c>
      <c r="AF26" s="51" t="e">
        <f t="shared" si="74"/>
        <v>#NUM!</v>
      </c>
      <c r="AG26" s="51" t="str">
        <f t="shared" si="55"/>
        <v>1-0.0566553767319954i</v>
      </c>
      <c r="AH26" s="51">
        <f t="shared" si="75"/>
        <v>1.0016036300416669</v>
      </c>
      <c r="AI26" s="51">
        <f t="shared" si="76"/>
        <v>-5.6594875134314195E-2</v>
      </c>
      <c r="AJ26" s="51" t="str">
        <f t="shared" si="56"/>
        <v>1+0.000075540502309327i</v>
      </c>
      <c r="AK26" s="51">
        <f t="shared" si="77"/>
        <v>1.0000000028531837</v>
      </c>
      <c r="AL26" s="51">
        <f t="shared" si="78"/>
        <v>7.5540502165639703E-5</v>
      </c>
      <c r="AM26" s="51" t="e">
        <f t="shared" si="57"/>
        <v>#NUM!</v>
      </c>
      <c r="AN26" s="51" t="e">
        <f t="shared" si="79"/>
        <v>#NUM!</v>
      </c>
      <c r="AO26" s="51" t="e">
        <f t="shared" si="80"/>
        <v>#NUM!</v>
      </c>
      <c r="AP26" s="60" t="e">
        <f t="shared" si="81"/>
        <v>#NUM!</v>
      </c>
      <c r="AQ26" s="51" t="e">
        <f t="shared" si="82"/>
        <v>#NUM!</v>
      </c>
      <c r="AR26" s="63" t="e">
        <f t="shared" si="83"/>
        <v>#NUM!</v>
      </c>
      <c r="AS26" s="32" t="str">
        <f t="shared" si="58"/>
        <v>-0.000170731707317073</v>
      </c>
      <c r="AT26" s="32" t="str">
        <f t="shared" si="59"/>
        <v>2.87053908775443E-06i</v>
      </c>
      <c r="AU26" s="32">
        <f t="shared" si="84"/>
        <v>2.8705390877544301E-6</v>
      </c>
      <c r="AV26" s="32">
        <f t="shared" si="85"/>
        <v>1.5707963267948966</v>
      </c>
      <c r="AW26" s="32" t="str">
        <f t="shared" si="60"/>
        <v>1+0.000611162421841565i</v>
      </c>
      <c r="AX26" s="32">
        <f t="shared" si="86"/>
        <v>1.0000001867597355</v>
      </c>
      <c r="AY26" s="32">
        <f t="shared" si="87"/>
        <v>6.1116234574788676E-4</v>
      </c>
      <c r="AZ26" s="32" t="str">
        <f t="shared" si="61"/>
        <v>1+0.0116120860149898i</v>
      </c>
      <c r="BA26" s="32">
        <f t="shared" si="88"/>
        <v>1.0000674179982165</v>
      </c>
      <c r="BB26" s="32">
        <f t="shared" si="89"/>
        <v>1.1611564130555993E-2</v>
      </c>
      <c r="BC26" s="60" t="str">
        <f t="shared" si="90"/>
        <v>-0.654304194493886+59.4776277160603i</v>
      </c>
      <c r="BD26" s="51">
        <f t="shared" si="91"/>
        <v>35.487598309771123</v>
      </c>
      <c r="BE26" s="63">
        <f t="shared" si="92"/>
        <v>90.63027659521768</v>
      </c>
      <c r="BF26" s="60" t="str">
        <f t="shared" si="93"/>
        <v>41.0526065164517+1384.38286445439i</v>
      </c>
      <c r="BG26" s="66">
        <f t="shared" si="94"/>
        <v>62.82894165565655</v>
      </c>
      <c r="BH26" s="63">
        <f t="shared" si="95"/>
        <v>88.301443876531664</v>
      </c>
      <c r="BI26" s="60" t="e">
        <f t="shared" si="96"/>
        <v>#NUM!</v>
      </c>
      <c r="BJ26" s="66" t="e">
        <f t="shared" si="97"/>
        <v>#NUM!</v>
      </c>
      <c r="BK26" s="63" t="e">
        <f t="shared" si="98"/>
        <v>#NUM!</v>
      </c>
      <c r="BL26" s="51">
        <f t="shared" si="99"/>
        <v>62.82894165565655</v>
      </c>
      <c r="BM26" s="63">
        <f t="shared" si="100"/>
        <v>88.301443876531664</v>
      </c>
    </row>
    <row r="27" spans="1:65" s="32" customFormat="1" x14ac:dyDescent="0.3">
      <c r="A27" t="s">
        <v>118</v>
      </c>
      <c r="B27" s="22">
        <f>Rsl_int</f>
        <v>1333</v>
      </c>
      <c r="C27" s="2" t="s">
        <v>36</v>
      </c>
      <c r="D27"/>
      <c r="E27" t="s">
        <v>173</v>
      </c>
      <c r="F27"/>
      <c r="G27"/>
      <c r="K27"/>
      <c r="N27" s="11">
        <v>9</v>
      </c>
      <c r="O27" s="52">
        <f t="shared" si="62"/>
        <v>12.302687708123818</v>
      </c>
      <c r="P27" s="50" t="str">
        <f t="shared" si="50"/>
        <v>23.3035714285714</v>
      </c>
      <c r="Q27" s="18" t="str">
        <f t="shared" si="51"/>
        <v>1+0.0414107499891977i</v>
      </c>
      <c r="R27" s="18">
        <f t="shared" si="63"/>
        <v>1.0008570578332692</v>
      </c>
      <c r="S27" s="18">
        <f t="shared" si="64"/>
        <v>4.1387103236980229E-2</v>
      </c>
      <c r="T27" s="18" t="str">
        <f t="shared" si="52"/>
        <v>1+0.0000773000666465025i</v>
      </c>
      <c r="U27" s="18">
        <f t="shared" si="65"/>
        <v>1.0000000029876501</v>
      </c>
      <c r="V27" s="18">
        <f t="shared" si="66"/>
        <v>7.7300066492538792E-5</v>
      </c>
      <c r="W27" s="32" t="str">
        <f t="shared" si="53"/>
        <v>1-0.000188955718469228i</v>
      </c>
      <c r="X27" s="18">
        <f t="shared" si="67"/>
        <v>1.0000000178521316</v>
      </c>
      <c r="Y27" s="18">
        <f t="shared" si="68"/>
        <v>-1.8895571622038645E-4</v>
      </c>
      <c r="Z27" s="32" t="str">
        <f t="shared" si="54"/>
        <v>0.999999999394576+0.0000927388224574752i</v>
      </c>
      <c r="AA27" s="18">
        <f t="shared" si="69"/>
        <v>1.0000000036948204</v>
      </c>
      <c r="AB27" s="18">
        <f t="shared" si="70"/>
        <v>9.2738822247755105E-5</v>
      </c>
      <c r="AC27" s="68" t="str">
        <f t="shared" si="71"/>
        <v>23.2634807120172-0.968121304869655i</v>
      </c>
      <c r="AD27" s="66">
        <f t="shared" si="72"/>
        <v>27.341008720808418</v>
      </c>
      <c r="AE27" s="63">
        <f t="shared" si="73"/>
        <v>-2.3830172823512035</v>
      </c>
      <c r="AF27" s="51" t="e">
        <f t="shared" si="74"/>
        <v>#NUM!</v>
      </c>
      <c r="AG27" s="51" t="str">
        <f t="shared" si="55"/>
        <v>1-0.057975049984877i</v>
      </c>
      <c r="AH27" s="51">
        <f t="shared" si="75"/>
        <v>1.0016791434490133</v>
      </c>
      <c r="AI27" s="51">
        <f t="shared" si="76"/>
        <v>-5.7910227222886322E-2</v>
      </c>
      <c r="AJ27" s="51" t="str">
        <f t="shared" si="56"/>
        <v>1+0.0000773000666465025i</v>
      </c>
      <c r="AK27" s="51">
        <f t="shared" si="77"/>
        <v>1.0000000029876501</v>
      </c>
      <c r="AL27" s="51">
        <f t="shared" si="78"/>
        <v>7.7300066492538792E-5</v>
      </c>
      <c r="AM27" s="51" t="e">
        <f t="shared" si="57"/>
        <v>#NUM!</v>
      </c>
      <c r="AN27" s="51" t="e">
        <f t="shared" si="79"/>
        <v>#NUM!</v>
      </c>
      <c r="AO27" s="51" t="e">
        <f t="shared" si="80"/>
        <v>#NUM!</v>
      </c>
      <c r="AP27" s="60" t="e">
        <f t="shared" si="81"/>
        <v>#NUM!</v>
      </c>
      <c r="AQ27" s="51" t="e">
        <f t="shared" si="82"/>
        <v>#NUM!</v>
      </c>
      <c r="AR27" s="63" t="e">
        <f t="shared" si="83"/>
        <v>#NUM!</v>
      </c>
      <c r="AS27" s="32" t="str">
        <f t="shared" si="58"/>
        <v>-0.000170731707317073</v>
      </c>
      <c r="AT27" s="32" t="str">
        <f t="shared" si="59"/>
        <v>2.93740253256709E-06i</v>
      </c>
      <c r="AU27" s="32">
        <f t="shared" si="84"/>
        <v>2.9374025325670902E-6</v>
      </c>
      <c r="AV27" s="32">
        <f t="shared" si="85"/>
        <v>1.5707963267948966</v>
      </c>
      <c r="AW27" s="32" t="str">
        <f t="shared" si="60"/>
        <v>1+0.000625398223415808i</v>
      </c>
      <c r="AX27" s="32">
        <f t="shared" si="86"/>
        <v>1.0000001955614497</v>
      </c>
      <c r="AY27" s="32">
        <f t="shared" si="87"/>
        <v>6.2539814187996361E-4</v>
      </c>
      <c r="AZ27" s="32" t="str">
        <f t="shared" si="61"/>
        <v>1+0.0118825662449004i</v>
      </c>
      <c r="BA27" s="32">
        <f t="shared" si="88"/>
        <v>1.0000705951984412</v>
      </c>
      <c r="BB27" s="32">
        <f t="shared" si="89"/>
        <v>1.1882007037786435E-2</v>
      </c>
      <c r="BC27" s="60" t="str">
        <f t="shared" si="90"/>
        <v>-0.654304182975893+58.1237700353444i</v>
      </c>
      <c r="BD27" s="51">
        <f t="shared" si="91"/>
        <v>35.287625828226709</v>
      </c>
      <c r="BE27" s="63">
        <f t="shared" si="92"/>
        <v>90.644956181364861</v>
      </c>
      <c r="BF27" s="60" t="str">
        <f t="shared" si="93"/>
        <v>41.0494673501095+1352.79464894636i</v>
      </c>
      <c r="BG27" s="66">
        <f t="shared" si="94"/>
        <v>62.628634549035112</v>
      </c>
      <c r="BH27" s="63">
        <f t="shared" si="95"/>
        <v>88.261938899013657</v>
      </c>
      <c r="BI27" s="60" t="e">
        <f t="shared" si="96"/>
        <v>#NUM!</v>
      </c>
      <c r="BJ27" s="66" t="e">
        <f t="shared" si="97"/>
        <v>#NUM!</v>
      </c>
      <c r="BK27" s="63" t="e">
        <f t="shared" si="98"/>
        <v>#NUM!</v>
      </c>
      <c r="BL27" s="51">
        <f t="shared" si="99"/>
        <v>62.628634549035112</v>
      </c>
      <c r="BM27" s="63">
        <f t="shared" si="100"/>
        <v>88.261938899013657</v>
      </c>
    </row>
    <row r="28" spans="1:65" x14ac:dyDescent="0.3">
      <c r="A28" t="s">
        <v>116</v>
      </c>
      <c r="B28" s="22">
        <f>Isl</f>
        <v>2.9999999999999997E-5</v>
      </c>
      <c r="C28" s="2" t="s">
        <v>11</v>
      </c>
      <c r="E28" t="s">
        <v>174</v>
      </c>
      <c r="K28" s="32"/>
      <c r="N28" s="11">
        <v>10</v>
      </c>
      <c r="O28" s="52">
        <f t="shared" si="62"/>
        <v>12.58925411794168</v>
      </c>
      <c r="P28" s="50" t="str">
        <f t="shared" si="50"/>
        <v>23.3035714285714</v>
      </c>
      <c r="Q28" s="18" t="str">
        <f t="shared" si="51"/>
        <v>1+0.0423753302690363i</v>
      </c>
      <c r="R28" s="18">
        <f t="shared" si="63"/>
        <v>1.0008974316159522</v>
      </c>
      <c r="S28" s="18">
        <f t="shared" si="64"/>
        <v>4.2349993544378926E-2</v>
      </c>
      <c r="T28" s="18" t="str">
        <f t="shared" si="52"/>
        <v>1+0.0000791006165022013i</v>
      </c>
      <c r="U28" s="18">
        <f t="shared" si="65"/>
        <v>1.0000000031284537</v>
      </c>
      <c r="V28" s="18">
        <f t="shared" si="66"/>
        <v>7.9100616337226222E-5</v>
      </c>
      <c r="W28" s="32" t="str">
        <f t="shared" si="53"/>
        <v>1-0.000193357062560937i</v>
      </c>
      <c r="X28" s="18">
        <f t="shared" si="67"/>
        <v>1.0000000186934765</v>
      </c>
      <c r="Y28" s="18">
        <f t="shared" si="68"/>
        <v>-1.9335706015125988E-4</v>
      </c>
      <c r="Z28" s="32" t="str">
        <f t="shared" si="54"/>
        <v>0.999999999366043+0.0000948989871331034i</v>
      </c>
      <c r="AA28" s="18">
        <f t="shared" si="69"/>
        <v>1.0000000038689518</v>
      </c>
      <c r="AB28" s="18">
        <f t="shared" si="70"/>
        <v>9.4898986908384291E-5</v>
      </c>
      <c r="AC28" s="68" t="str">
        <f t="shared" si="71"/>
        <v>23.2615946814417-0.990591825782031i</v>
      </c>
      <c r="AD28" s="66">
        <f t="shared" si="72"/>
        <v>27.340658352970593</v>
      </c>
      <c r="AE28" s="63">
        <f t="shared" si="73"/>
        <v>-2.4384596159418299</v>
      </c>
      <c r="AF28" s="51" t="e">
        <f t="shared" si="74"/>
        <v>#NUM!</v>
      </c>
      <c r="AG28" s="51" t="str">
        <f t="shared" si="55"/>
        <v>1-0.0593254623766511i</v>
      </c>
      <c r="AH28" s="51">
        <f t="shared" si="75"/>
        <v>1.0017582095926159</v>
      </c>
      <c r="AI28" s="51">
        <f t="shared" si="76"/>
        <v>-5.9256010118224782E-2</v>
      </c>
      <c r="AJ28" s="51" t="str">
        <f t="shared" si="56"/>
        <v>1+0.0000791006165022013i</v>
      </c>
      <c r="AK28" s="51">
        <f t="shared" si="77"/>
        <v>1.0000000031284537</v>
      </c>
      <c r="AL28" s="51">
        <f t="shared" si="78"/>
        <v>7.9100616337226222E-5</v>
      </c>
      <c r="AM28" s="51" t="e">
        <f t="shared" si="57"/>
        <v>#NUM!</v>
      </c>
      <c r="AN28" s="51" t="e">
        <f t="shared" si="79"/>
        <v>#NUM!</v>
      </c>
      <c r="AO28" s="51" t="e">
        <f t="shared" si="80"/>
        <v>#NUM!</v>
      </c>
      <c r="AP28" s="60" t="e">
        <f t="shared" si="81"/>
        <v>#NUM!</v>
      </c>
      <c r="AQ28" s="51" t="e">
        <f t="shared" si="82"/>
        <v>#NUM!</v>
      </c>
      <c r="AR28" s="63" t="e">
        <f t="shared" si="83"/>
        <v>#NUM!</v>
      </c>
      <c r="AS28" s="32" t="str">
        <f t="shared" si="58"/>
        <v>-0.000170731707317073</v>
      </c>
      <c r="AT28" s="32" t="str">
        <f t="shared" si="59"/>
        <v>3.00582342708365E-06i</v>
      </c>
      <c r="AU28" s="32">
        <f t="shared" si="84"/>
        <v>3.0058234270836501E-6</v>
      </c>
      <c r="AV28" s="32">
        <f t="shared" si="85"/>
        <v>1.5707963267948966</v>
      </c>
      <c r="AW28" s="32" t="str">
        <f t="shared" si="60"/>
        <v>1+0.00063996561940623i</v>
      </c>
      <c r="AX28" s="32">
        <f t="shared" si="86"/>
        <v>1.0000002047779761</v>
      </c>
      <c r="AY28" s="32">
        <f t="shared" si="87"/>
        <v>6.3996553203899971E-4</v>
      </c>
      <c r="AZ28" s="32" t="str">
        <f t="shared" si="61"/>
        <v>1+0.0121593467687184i</v>
      </c>
      <c r="BA28" s="32">
        <f t="shared" si="88"/>
        <v>1.0000739221246806</v>
      </c>
      <c r="BB28" s="32">
        <f t="shared" si="89"/>
        <v>1.215874756989224E-2</v>
      </c>
      <c r="BC28" s="60" t="str">
        <f t="shared" si="90"/>
        <v>-0.654304170915069+56.8007303468595i</v>
      </c>
      <c r="BD28" s="51">
        <f t="shared" si="91"/>
        <v>35.087654643399219</v>
      </c>
      <c r="BE28" s="63">
        <f t="shared" si="92"/>
        <v>90.659977595900088</v>
      </c>
      <c r="BF28" s="60" t="str">
        <f t="shared" si="93"/>
        <v>41.0461807578453+1321.92371530179i</v>
      </c>
      <c r="BG28" s="66">
        <f t="shared" si="94"/>
        <v>62.428312996369769</v>
      </c>
      <c r="BH28" s="63">
        <f t="shared" si="95"/>
        <v>88.221517979958264</v>
      </c>
      <c r="BI28" s="60" t="e">
        <f t="shared" si="96"/>
        <v>#NUM!</v>
      </c>
      <c r="BJ28" s="66" t="e">
        <f t="shared" si="97"/>
        <v>#NUM!</v>
      </c>
      <c r="BK28" s="63" t="e">
        <f t="shared" si="98"/>
        <v>#NUM!</v>
      </c>
      <c r="BL28" s="51">
        <f t="shared" si="99"/>
        <v>62.428312996369769</v>
      </c>
      <c r="BM28" s="63">
        <f t="shared" si="100"/>
        <v>88.221517979958264</v>
      </c>
    </row>
    <row r="29" spans="1:65" x14ac:dyDescent="0.3">
      <c r="A29" s="32"/>
      <c r="B29" s="27"/>
      <c r="C29" s="2"/>
      <c r="D29" s="32"/>
      <c r="E29" s="32"/>
      <c r="F29" s="32"/>
      <c r="G29" s="32"/>
      <c r="N29" s="11">
        <v>11</v>
      </c>
      <c r="O29" s="52">
        <f t="shared" si="62"/>
        <v>12.882495516931346</v>
      </c>
      <c r="P29" s="50" t="str">
        <f t="shared" si="50"/>
        <v>23.3035714285714</v>
      </c>
      <c r="Q29" s="18" t="str">
        <f t="shared" si="51"/>
        <v>1+0.0433623785098874i</v>
      </c>
      <c r="R29" s="18">
        <f t="shared" si="63"/>
        <v>1.000939706410948</v>
      </c>
      <c r="S29" s="18">
        <f t="shared" si="64"/>
        <v>4.3335231096671263E-2</v>
      </c>
      <c r="T29" s="18" t="str">
        <f t="shared" si="52"/>
        <v>1+0.0000809431065517899i</v>
      </c>
      <c r="U29" s="18">
        <f t="shared" si="65"/>
        <v>1.0000000032758931</v>
      </c>
      <c r="V29" s="18">
        <f t="shared" si="66"/>
        <v>8.0943106375015906E-5</v>
      </c>
      <c r="W29" s="32" t="str">
        <f t="shared" si="53"/>
        <v>1-0.000197860927126598i</v>
      </c>
      <c r="X29" s="18">
        <f t="shared" si="67"/>
        <v>1.0000000195744732</v>
      </c>
      <c r="Y29" s="18">
        <f t="shared" si="68"/>
        <v>-1.9786092454458245E-4</v>
      </c>
      <c r="Z29" s="32" t="str">
        <f t="shared" si="54"/>
        <v>0.999999999336165+0.0000971094685078461i</v>
      </c>
      <c r="AA29" s="18">
        <f t="shared" si="69"/>
        <v>1.0000000040512893</v>
      </c>
      <c r="AB29" s="18">
        <f t="shared" si="70"/>
        <v>9.7109468267055294E-5</v>
      </c>
      <c r="AC29" s="68" t="str">
        <f t="shared" si="71"/>
        <v>23.2596200911115-1.01358005059978i</v>
      </c>
      <c r="AD29" s="66">
        <f t="shared" si="72"/>
        <v>27.340291503099472</v>
      </c>
      <c r="AE29" s="63">
        <f t="shared" si="73"/>
        <v>-2.4951887062767972</v>
      </c>
      <c r="AF29" s="51" t="e">
        <f t="shared" si="74"/>
        <v>#NUM!</v>
      </c>
      <c r="AG29" s="51" t="str">
        <f t="shared" si="55"/>
        <v>1-0.0607073299138426i</v>
      </c>
      <c r="AH29" s="51">
        <f t="shared" si="75"/>
        <v>1.0018409953207486</v>
      </c>
      <c r="AI29" s="51">
        <f t="shared" si="76"/>
        <v>-6.0632917862089165E-2</v>
      </c>
      <c r="AJ29" s="51" t="str">
        <f t="shared" si="56"/>
        <v>1+0.0000809431065517899i</v>
      </c>
      <c r="AK29" s="51">
        <f t="shared" si="77"/>
        <v>1.0000000032758931</v>
      </c>
      <c r="AL29" s="51">
        <f t="shared" si="78"/>
        <v>8.0943106375015906E-5</v>
      </c>
      <c r="AM29" s="51" t="e">
        <f t="shared" si="57"/>
        <v>#NUM!</v>
      </c>
      <c r="AN29" s="51" t="e">
        <f t="shared" si="79"/>
        <v>#NUM!</v>
      </c>
      <c r="AO29" s="51" t="e">
        <f t="shared" si="80"/>
        <v>#NUM!</v>
      </c>
      <c r="AP29" s="60" t="e">
        <f t="shared" si="81"/>
        <v>#NUM!</v>
      </c>
      <c r="AQ29" s="51" t="e">
        <f t="shared" si="82"/>
        <v>#NUM!</v>
      </c>
      <c r="AR29" s="63" t="e">
        <f t="shared" si="83"/>
        <v>#NUM!</v>
      </c>
      <c r="AS29" s="32" t="str">
        <f t="shared" si="58"/>
        <v>-0.000170731707317073</v>
      </c>
      <c r="AT29" s="32" t="str">
        <f t="shared" si="59"/>
        <v>3.07583804896802E-06i</v>
      </c>
      <c r="AU29" s="32">
        <f t="shared" si="84"/>
        <v>3.07583804896802E-6</v>
      </c>
      <c r="AV29" s="32">
        <f t="shared" si="85"/>
        <v>1.5707963267948966</v>
      </c>
      <c r="AW29" s="32" t="str">
        <f t="shared" si="60"/>
        <v>1+0.000654872333639007i</v>
      </c>
      <c r="AX29" s="32">
        <f t="shared" si="86"/>
        <v>1.0000002144288636</v>
      </c>
      <c r="AY29" s="32">
        <f t="shared" si="87"/>
        <v>6.5487224002333414E-4</v>
      </c>
      <c r="AZ29" s="32" t="str">
        <f t="shared" si="61"/>
        <v>1+0.0124425743391411i</v>
      </c>
      <c r="BA29" s="32">
        <f t="shared" si="88"/>
        <v>1.000077405832261</v>
      </c>
      <c r="BB29" s="32">
        <f t="shared" si="89"/>
        <v>1.2441932288715126E-2</v>
      </c>
      <c r="BC29" s="60" t="str">
        <f t="shared" si="90"/>
        <v>-0.654304158285836+55.5078071574502i</v>
      </c>
      <c r="BD29" s="51">
        <f t="shared" si="91"/>
        <v>34.887684816382887</v>
      </c>
      <c r="BE29" s="63">
        <f t="shared" si="92"/>
        <v>90.675348793657307</v>
      </c>
      <c r="BF29" s="60" t="str">
        <f t="shared" si="93"/>
        <v>41.0427398415682+1291.75369621483i</v>
      </c>
      <c r="BG29" s="66">
        <f t="shared" si="94"/>
        <v>62.22797631948233</v>
      </c>
      <c r="BH29" s="63">
        <f t="shared" si="95"/>
        <v>88.1801600873805</v>
      </c>
      <c r="BI29" s="60" t="e">
        <f t="shared" si="96"/>
        <v>#NUM!</v>
      </c>
      <c r="BJ29" s="66" t="e">
        <f t="shared" si="97"/>
        <v>#NUM!</v>
      </c>
      <c r="BK29" s="63" t="e">
        <f t="shared" si="98"/>
        <v>#NUM!</v>
      </c>
      <c r="BL29" s="51">
        <f t="shared" si="99"/>
        <v>62.22797631948233</v>
      </c>
      <c r="BM29" s="63">
        <f t="shared" si="100"/>
        <v>88.1801600873805</v>
      </c>
    </row>
    <row r="30" spans="1:65" x14ac:dyDescent="0.3">
      <c r="A30" s="32" t="s">
        <v>198</v>
      </c>
      <c r="B30" s="22">
        <f>Gcomp</f>
        <v>0.14499999999999999</v>
      </c>
      <c r="C30" s="2"/>
      <c r="D30" s="32"/>
      <c r="E30" s="32" t="s">
        <v>199</v>
      </c>
      <c r="F30" s="32"/>
      <c r="G30" s="32"/>
      <c r="N30" s="11">
        <v>12</v>
      </c>
      <c r="O30" s="52">
        <f t="shared" si="62"/>
        <v>13.182567385564075</v>
      </c>
      <c r="P30" s="50" t="str">
        <f t="shared" si="50"/>
        <v>23.3035714285714</v>
      </c>
      <c r="Q30" s="18" t="str">
        <f t="shared" si="51"/>
        <v>1+0.0443724180577933i</v>
      </c>
      <c r="R30" s="18">
        <f t="shared" si="63"/>
        <v>1.0009839716420517</v>
      </c>
      <c r="S30" s="18">
        <f t="shared" si="64"/>
        <v>4.4343330624584371E-2</v>
      </c>
      <c r="T30" s="18" t="str">
        <f t="shared" si="52"/>
        <v>1+0.000082828513707881i</v>
      </c>
      <c r="U30" s="18">
        <f t="shared" si="65"/>
        <v>1.0000000034302814</v>
      </c>
      <c r="V30" s="18">
        <f t="shared" si="66"/>
        <v>8.282851351846427E-5</v>
      </c>
      <c r="W30" s="32" t="str">
        <f t="shared" si="53"/>
        <v>1-0.00020246970017482i</v>
      </c>
      <c r="X30" s="18">
        <f t="shared" si="67"/>
        <v>1.0000000204969897</v>
      </c>
      <c r="Y30" s="18">
        <f t="shared" si="68"/>
        <v>-2.0246969740814048E-4</v>
      </c>
      <c r="Z30" s="32" t="str">
        <f t="shared" si="54"/>
        <v>0.99999999930488+0.0000993714386081875i</v>
      </c>
      <c r="AA30" s="18">
        <f t="shared" si="69"/>
        <v>1.0000000042422215</v>
      </c>
      <c r="AB30" s="18">
        <f t="shared" si="70"/>
        <v>9.9371438350175434E-5</v>
      </c>
      <c r="AC30" s="68" t="str">
        <f t="shared" si="71"/>
        <v>23.257552798708-1.03709763213126i</v>
      </c>
      <c r="AD30" s="66">
        <f t="shared" si="72"/>
        <v>27.33990739733806</v>
      </c>
      <c r="AE30" s="63">
        <f t="shared" si="73"/>
        <v>-2.5532341932563245</v>
      </c>
      <c r="AF30" s="51" t="e">
        <f t="shared" si="74"/>
        <v>#NUM!</v>
      </c>
      <c r="AG30" s="51" t="str">
        <f t="shared" si="55"/>
        <v>1-0.0621213852809109i</v>
      </c>
      <c r="AH30" s="51">
        <f t="shared" si="75"/>
        <v>1.0019276752886006</v>
      </c>
      <c r="AI30" s="51">
        <f t="shared" si="76"/>
        <v>-6.2041659613832241E-2</v>
      </c>
      <c r="AJ30" s="51" t="str">
        <f t="shared" si="56"/>
        <v>1+0.000082828513707881i</v>
      </c>
      <c r="AK30" s="51">
        <f t="shared" si="77"/>
        <v>1.0000000034302814</v>
      </c>
      <c r="AL30" s="51">
        <f t="shared" si="78"/>
        <v>8.282851351846427E-5</v>
      </c>
      <c r="AM30" s="51" t="e">
        <f t="shared" si="57"/>
        <v>#NUM!</v>
      </c>
      <c r="AN30" s="51" t="e">
        <f t="shared" si="79"/>
        <v>#NUM!</v>
      </c>
      <c r="AO30" s="51" t="e">
        <f t="shared" si="80"/>
        <v>#NUM!</v>
      </c>
      <c r="AP30" s="60" t="e">
        <f t="shared" si="81"/>
        <v>#NUM!</v>
      </c>
      <c r="AQ30" s="51" t="e">
        <f t="shared" si="82"/>
        <v>#NUM!</v>
      </c>
      <c r="AR30" s="63" t="e">
        <f t="shared" si="83"/>
        <v>#NUM!</v>
      </c>
      <c r="AS30" s="32" t="str">
        <f t="shared" si="58"/>
        <v>-0.000170731707317073</v>
      </c>
      <c r="AT30" s="32" t="str">
        <f t="shared" si="59"/>
        <v>3.14748352089948E-06i</v>
      </c>
      <c r="AU30" s="32">
        <f t="shared" si="84"/>
        <v>3.1474835208994798E-6</v>
      </c>
      <c r="AV30" s="32">
        <f t="shared" si="85"/>
        <v>1.5707963267948966</v>
      </c>
      <c r="AW30" s="32" t="str">
        <f t="shared" si="60"/>
        <v>1+0.000670126269851339i</v>
      </c>
      <c r="AX30" s="32">
        <f t="shared" si="86"/>
        <v>1.0000002245345836</v>
      </c>
      <c r="AY30" s="32">
        <f t="shared" si="87"/>
        <v>6.701261695403395E-4</v>
      </c>
      <c r="AZ30" s="32" t="str">
        <f t="shared" si="61"/>
        <v>1+0.0127323991271755i</v>
      </c>
      <c r="BA30" s="32">
        <f t="shared" si="88"/>
        <v>1.0000810537089149</v>
      </c>
      <c r="BB30" s="32">
        <f t="shared" si="89"/>
        <v>1.2731711160760521E-2</v>
      </c>
      <c r="BC30" s="60" t="str">
        <f t="shared" si="90"/>
        <v>-0.654304145061414+54.244314942128i</v>
      </c>
      <c r="BD30" s="51">
        <f t="shared" si="91"/>
        <v>34.687716411149594</v>
      </c>
      <c r="BE30" s="63">
        <f t="shared" si="92"/>
        <v>90.691077914235251</v>
      </c>
      <c r="BF30" s="60" t="str">
        <f t="shared" si="93"/>
        <v>41.0391373828839+1262.26859607582i</v>
      </c>
      <c r="BG30" s="66">
        <f t="shared" si="94"/>
        <v>62.027623808487618</v>
      </c>
      <c r="BH30" s="63">
        <f t="shared" si="95"/>
        <v>88.137843720978935</v>
      </c>
      <c r="BI30" s="60" t="e">
        <f t="shared" si="96"/>
        <v>#NUM!</v>
      </c>
      <c r="BJ30" s="66" t="e">
        <f t="shared" si="97"/>
        <v>#NUM!</v>
      </c>
      <c r="BK30" s="63" t="e">
        <f t="shared" si="98"/>
        <v>#NUM!</v>
      </c>
      <c r="BL30" s="51">
        <f t="shared" si="99"/>
        <v>62.027623808487618</v>
      </c>
      <c r="BM30" s="63">
        <f t="shared" si="100"/>
        <v>88.137843720978935</v>
      </c>
    </row>
    <row r="31" spans="1:65" x14ac:dyDescent="0.3">
      <c r="A31" t="s">
        <v>504</v>
      </c>
      <c r="B31">
        <v>1</v>
      </c>
      <c r="E31" t="s">
        <v>583</v>
      </c>
      <c r="N31" s="11">
        <v>13</v>
      </c>
      <c r="O31" s="52">
        <f t="shared" si="62"/>
        <v>13.489628825916535</v>
      </c>
      <c r="P31" s="50" t="str">
        <f t="shared" si="50"/>
        <v>23.3035714285714</v>
      </c>
      <c r="Q31" s="18" t="str">
        <f t="shared" si="51"/>
        <v>1+0.0454059844490919i</v>
      </c>
      <c r="R31" s="18">
        <f t="shared" si="63"/>
        <v>1.0010303209312847</v>
      </c>
      <c r="S31" s="18">
        <f t="shared" si="64"/>
        <v>4.5374818435197563E-2</v>
      </c>
      <c r="T31" s="18" t="str">
        <f t="shared" si="52"/>
        <v>1+0.000084757837638305i</v>
      </c>
      <c r="U31" s="18">
        <f t="shared" si="65"/>
        <v>1.0000000035919454</v>
      </c>
      <c r="V31" s="18">
        <f t="shared" si="66"/>
        <v>8.4757837435341316E-5</v>
      </c>
      <c r="W31" s="32" t="str">
        <f t="shared" si="53"/>
        <v>1-0.000207185825338079i</v>
      </c>
      <c r="X31" s="18">
        <f t="shared" si="67"/>
        <v>1.0000000214629827</v>
      </c>
      <c r="Y31" s="18">
        <f t="shared" si="68"/>
        <v>-2.0718582237352849E-4</v>
      </c>
      <c r="Z31" s="32" t="str">
        <f t="shared" si="54"/>
        <v>0.99999999927212+0.000101686096760615i</v>
      </c>
      <c r="AA31" s="18">
        <f t="shared" si="69"/>
        <v>1.0000000044421511</v>
      </c>
      <c r="AB31" s="18">
        <f t="shared" si="70"/>
        <v>1.0168609648415008E-4</v>
      </c>
      <c r="AC31" s="68" t="str">
        <f t="shared" si="71"/>
        <v>23.2553884697037-1.06115646578146i</v>
      </c>
      <c r="AD31" s="66">
        <f t="shared" si="72"/>
        <v>27.339505225638867</v>
      </c>
      <c r="AE31" s="63">
        <f t="shared" si="73"/>
        <v>-2.6126263835041619</v>
      </c>
      <c r="AF31" s="51" t="e">
        <f t="shared" si="74"/>
        <v>#NUM!</v>
      </c>
      <c r="AG31" s="51" t="str">
        <f t="shared" si="55"/>
        <v>1-0.0635683782287289i</v>
      </c>
      <c r="AH31" s="51">
        <f t="shared" si="75"/>
        <v>1.0020184323207986</v>
      </c>
      <c r="AI31" s="51">
        <f t="shared" si="76"/>
        <v>-6.3482959928565674E-2</v>
      </c>
      <c r="AJ31" s="51" t="str">
        <f t="shared" si="56"/>
        <v>1+0.000084757837638305i</v>
      </c>
      <c r="AK31" s="51">
        <f t="shared" si="77"/>
        <v>1.0000000035919454</v>
      </c>
      <c r="AL31" s="51">
        <f t="shared" si="78"/>
        <v>8.4757837435341316E-5</v>
      </c>
      <c r="AM31" s="51" t="e">
        <f t="shared" si="57"/>
        <v>#NUM!</v>
      </c>
      <c r="AN31" s="51" t="e">
        <f t="shared" si="79"/>
        <v>#NUM!</v>
      </c>
      <c r="AO31" s="51" t="e">
        <f t="shared" si="80"/>
        <v>#NUM!</v>
      </c>
      <c r="AP31" s="60" t="e">
        <f t="shared" si="81"/>
        <v>#NUM!</v>
      </c>
      <c r="AQ31" s="51" t="e">
        <f t="shared" si="82"/>
        <v>#NUM!</v>
      </c>
      <c r="AR31" s="63" t="e">
        <f t="shared" si="83"/>
        <v>#NUM!</v>
      </c>
      <c r="AS31" s="32" t="str">
        <f t="shared" si="58"/>
        <v>-0.000170731707317073</v>
      </c>
      <c r="AT31" s="32" t="str">
        <f t="shared" si="59"/>
        <v>3.22079783025559E-06i</v>
      </c>
      <c r="AU31" s="32">
        <f t="shared" si="84"/>
        <v>3.2207978302555902E-6</v>
      </c>
      <c r="AV31" s="32">
        <f t="shared" si="85"/>
        <v>1.5707963267948966</v>
      </c>
      <c r="AW31" s="32" t="str">
        <f t="shared" si="60"/>
        <v>1+0.000685735515882117i</v>
      </c>
      <c r="AX31" s="32">
        <f t="shared" si="86"/>
        <v>1.0000002351165713</v>
      </c>
      <c r="AY31" s="32">
        <f t="shared" si="87"/>
        <v>6.8573540839694585E-4</v>
      </c>
      <c r="AZ31" s="32" t="str">
        <f t="shared" si="61"/>
        <v>1+0.0130289748017603i</v>
      </c>
      <c r="BA31" s="32">
        <f t="shared" si="88"/>
        <v>1.0000848734904377</v>
      </c>
      <c r="BB31" s="32">
        <f t="shared" si="89"/>
        <v>1.3028237635844094E-2</v>
      </c>
      <c r="BC31" s="60" t="str">
        <f t="shared" si="90"/>
        <v>-0.654304131213743+53.0095837805955i</v>
      </c>
      <c r="BD31" s="51">
        <f t="shared" si="91"/>
        <v>34.487749494684032</v>
      </c>
      <c r="BE31" s="63">
        <f t="shared" si="92"/>
        <v>90.707173286263526</v>
      </c>
      <c r="BF31" s="60" t="str">
        <f t="shared" si="93"/>
        <v>41.0353658284554+1233.45278249448i</v>
      </c>
      <c r="BG31" s="66">
        <f t="shared" si="94"/>
        <v>61.827254720322912</v>
      </c>
      <c r="BH31" s="63">
        <f t="shared" si="95"/>
        <v>88.094546902759376</v>
      </c>
      <c r="BI31" s="60" t="e">
        <f t="shared" si="96"/>
        <v>#NUM!</v>
      </c>
      <c r="BJ31" s="66" t="e">
        <f t="shared" si="97"/>
        <v>#NUM!</v>
      </c>
      <c r="BK31" s="63" t="e">
        <f t="shared" si="98"/>
        <v>#NUM!</v>
      </c>
      <c r="BL31" s="51">
        <f t="shared" si="99"/>
        <v>61.827254720322912</v>
      </c>
      <c r="BM31" s="63">
        <f t="shared" si="100"/>
        <v>88.094546902759376</v>
      </c>
    </row>
    <row r="32" spans="1:65" ht="15.6" x14ac:dyDescent="0.3">
      <c r="A32" s="53" t="s">
        <v>497</v>
      </c>
      <c r="N32" s="11">
        <v>14</v>
      </c>
      <c r="O32" s="52">
        <f t="shared" si="62"/>
        <v>13.803842646028857</v>
      </c>
      <c r="P32" s="50" t="str">
        <f t="shared" si="50"/>
        <v>23.3035714285714</v>
      </c>
      <c r="Q32" s="18" t="str">
        <f t="shared" si="51"/>
        <v>1+0.0464636256943647i</v>
      </c>
      <c r="R32" s="18">
        <f t="shared" si="63"/>
        <v>1.0010788522951957</v>
      </c>
      <c r="S32" s="18">
        <f t="shared" si="64"/>
        <v>4.6430232652251324E-2</v>
      </c>
      <c r="T32" s="18" t="str">
        <f t="shared" si="52"/>
        <v>1+0.0000867321012961475i</v>
      </c>
      <c r="U32" s="18">
        <f t="shared" si="65"/>
        <v>1.0000000037612287</v>
      </c>
      <c r="V32" s="18">
        <f t="shared" si="66"/>
        <v>8.6732101078667987E-5</v>
      </c>
      <c r="W32" s="32" t="str">
        <f t="shared" si="53"/>
        <v>1-0.000212011803168361i</v>
      </c>
      <c r="X32" s="18">
        <f t="shared" si="67"/>
        <v>1.000000022474502</v>
      </c>
      <c r="Y32" s="18">
        <f t="shared" si="68"/>
        <v>-2.1201179999178789E-4</v>
      </c>
      <c r="Z32" s="32" t="str">
        <f t="shared" si="54"/>
        <v>0.999999999237816+0.000104054670227521i</v>
      </c>
      <c r="AA32" s="18">
        <f t="shared" si="69"/>
        <v>1.000000004651503</v>
      </c>
      <c r="AB32" s="18">
        <f t="shared" si="70"/>
        <v>1.0405466993128352E-4</v>
      </c>
      <c r="AC32" s="68" t="str">
        <f t="shared" si="71"/>
        <v>23.2531225685941-1.08576869316624i</v>
      </c>
      <c r="AD32" s="66">
        <f t="shared" si="72"/>
        <v>27.339084140085887</v>
      </c>
      <c r="AE32" s="63">
        <f t="shared" si="73"/>
        <v>-2.6733962642165916</v>
      </c>
      <c r="AF32" s="51" t="e">
        <f t="shared" si="74"/>
        <v>#NUM!</v>
      </c>
      <c r="AG32" s="51" t="str">
        <f t="shared" si="55"/>
        <v>1-0.0650490759721108i</v>
      </c>
      <c r="AH32" s="51">
        <f t="shared" si="75"/>
        <v>1.0021134577904967</v>
      </c>
      <c r="AI32" s="51">
        <f t="shared" si="76"/>
        <v>-6.4957559036639967E-2</v>
      </c>
      <c r="AJ32" s="51" t="str">
        <f t="shared" si="56"/>
        <v>1+0.0000867321012961475i</v>
      </c>
      <c r="AK32" s="51">
        <f t="shared" si="77"/>
        <v>1.0000000037612287</v>
      </c>
      <c r="AL32" s="51">
        <f t="shared" si="78"/>
        <v>8.6732101078667987E-5</v>
      </c>
      <c r="AM32" s="51" t="e">
        <f t="shared" si="57"/>
        <v>#NUM!</v>
      </c>
      <c r="AN32" s="51" t="e">
        <f t="shared" si="79"/>
        <v>#NUM!</v>
      </c>
      <c r="AO32" s="51" t="e">
        <f t="shared" si="80"/>
        <v>#NUM!</v>
      </c>
      <c r="AP32" s="60" t="e">
        <f t="shared" si="81"/>
        <v>#NUM!</v>
      </c>
      <c r="AQ32" s="51" t="e">
        <f t="shared" si="82"/>
        <v>#NUM!</v>
      </c>
      <c r="AR32" s="63" t="e">
        <f t="shared" si="83"/>
        <v>#NUM!</v>
      </c>
      <c r="AS32" s="32" t="str">
        <f t="shared" si="58"/>
        <v>-0.000170731707317073</v>
      </c>
      <c r="AT32" s="32" t="str">
        <f t="shared" si="59"/>
        <v>0.0000032958198492536i</v>
      </c>
      <c r="AU32" s="32">
        <f t="shared" si="84"/>
        <v>3.2958198492536001E-6</v>
      </c>
      <c r="AV32" s="32">
        <f t="shared" si="85"/>
        <v>1.5707963267948966</v>
      </c>
      <c r="AW32" s="32" t="str">
        <f t="shared" si="60"/>
        <v>1+0.000701708347960199i</v>
      </c>
      <c r="AX32" s="32">
        <f t="shared" si="86"/>
        <v>1.0000002461972726</v>
      </c>
      <c r="AY32" s="32">
        <f t="shared" si="87"/>
        <v>7.0170823278776454E-4</v>
      </c>
      <c r="AZ32" s="32" t="str">
        <f t="shared" si="61"/>
        <v>1+0.0133324586112438i</v>
      </c>
      <c r="BA32" s="32">
        <f t="shared" si="88"/>
        <v>1.0000888732770805</v>
      </c>
      <c r="BB32" s="32">
        <f t="shared" si="89"/>
        <v>1.3331668727524455E-2</v>
      </c>
      <c r="BC32" s="60" t="str">
        <f t="shared" si="90"/>
        <v>-0.654304116713448+51.8029590020473i</v>
      </c>
      <c r="BD32" s="51">
        <f t="shared" si="91"/>
        <v>34.28778413712579</v>
      </c>
      <c r="BE32" s="63">
        <f t="shared" si="92"/>
        <v>90.723643431765367</v>
      </c>
      <c r="BF32" s="60" t="str">
        <f t="shared" si="93"/>
        <v>41.0314172747237+1205.2909780162i</v>
      </c>
      <c r="BG32" s="66">
        <f t="shared" si="94"/>
        <v>61.626868277211678</v>
      </c>
      <c r="BH32" s="63">
        <f t="shared" si="95"/>
        <v>88.05024716754879</v>
      </c>
      <c r="BI32" s="60" t="e">
        <f t="shared" si="96"/>
        <v>#NUM!</v>
      </c>
      <c r="BJ32" s="66" t="e">
        <f t="shared" si="97"/>
        <v>#NUM!</v>
      </c>
      <c r="BK32" s="63" t="e">
        <f t="shared" si="98"/>
        <v>#NUM!</v>
      </c>
      <c r="BL32" s="51">
        <f t="shared" si="99"/>
        <v>61.626868277211678</v>
      </c>
      <c r="BM32" s="63">
        <f t="shared" si="100"/>
        <v>88.05024716754879</v>
      </c>
    </row>
    <row r="33" spans="1:65" x14ac:dyDescent="0.3">
      <c r="K33" s="32"/>
      <c r="N33" s="11">
        <v>15</v>
      </c>
      <c r="O33" s="52">
        <f t="shared" si="62"/>
        <v>14.125375446227544</v>
      </c>
      <c r="P33" s="50" t="str">
        <f t="shared" si="50"/>
        <v>23.3035714285714</v>
      </c>
      <c r="Q33" s="18" t="str">
        <f t="shared" si="51"/>
        <v>1+0.0475459025689993i</v>
      </c>
      <c r="R33" s="18">
        <f t="shared" si="63"/>
        <v>1.0011296683502595</v>
      </c>
      <c r="S33" s="18">
        <f t="shared" si="64"/>
        <v>4.7510123459982491E-2</v>
      </c>
      <c r="T33" s="18" t="str">
        <f t="shared" si="52"/>
        <v>1+0.0000887523514621322i</v>
      </c>
      <c r="U33" s="18">
        <f t="shared" si="65"/>
        <v>1.00000000393849</v>
      </c>
      <c r="V33" s="18">
        <f t="shared" si="66"/>
        <v>8.8752351229098709E-5</v>
      </c>
      <c r="W33" s="32" t="str">
        <f t="shared" si="53"/>
        <v>1-0.00021695019246299i</v>
      </c>
      <c r="X33" s="18">
        <f t="shared" si="67"/>
        <v>1.0000000235336928</v>
      </c>
      <c r="Y33" s="18">
        <f t="shared" si="68"/>
        <v>-2.1695018905923061E-4</v>
      </c>
      <c r="Z33" s="32" t="str">
        <f t="shared" si="54"/>
        <v>0.999999999201895+0.000106478414857907i</v>
      </c>
      <c r="AA33" s="18">
        <f t="shared" si="69"/>
        <v>1.0000000048707212</v>
      </c>
      <c r="AB33" s="18">
        <f t="shared" si="70"/>
        <v>1.0647841454048287E-4</v>
      </c>
      <c r="AC33" s="68" t="str">
        <f t="shared" si="71"/>
        <v>23.250750349741-1.11094670566802i</v>
      </c>
      <c r="AD33" s="66">
        <f t="shared" si="72"/>
        <v>27.338643253138962</v>
      </c>
      <c r="AE33" s="63">
        <f t="shared" si="73"/>
        <v>-2.7355755172152456</v>
      </c>
      <c r="AF33" s="51" t="e">
        <f t="shared" si="74"/>
        <v>#NUM!</v>
      </c>
      <c r="AG33" s="51" t="str">
        <f t="shared" si="55"/>
        <v>1-0.0665642635965993i</v>
      </c>
      <c r="AH33" s="51">
        <f t="shared" si="75"/>
        <v>1.0022129520157668</v>
      </c>
      <c r="AI33" s="51">
        <f t="shared" si="76"/>
        <v>-6.646621312411484E-2</v>
      </c>
      <c r="AJ33" s="51" t="str">
        <f t="shared" si="56"/>
        <v>1+0.0000887523514621322i</v>
      </c>
      <c r="AK33" s="51">
        <f t="shared" si="77"/>
        <v>1.00000000393849</v>
      </c>
      <c r="AL33" s="51">
        <f t="shared" si="78"/>
        <v>8.8752351229098709E-5</v>
      </c>
      <c r="AM33" s="51" t="e">
        <f t="shared" si="57"/>
        <v>#NUM!</v>
      </c>
      <c r="AN33" s="51" t="e">
        <f t="shared" si="79"/>
        <v>#NUM!</v>
      </c>
      <c r="AO33" s="51" t="e">
        <f t="shared" si="80"/>
        <v>#NUM!</v>
      </c>
      <c r="AP33" s="60" t="e">
        <f t="shared" si="81"/>
        <v>#NUM!</v>
      </c>
      <c r="AQ33" s="51" t="e">
        <f t="shared" si="82"/>
        <v>#NUM!</v>
      </c>
      <c r="AR33" s="63" t="e">
        <f t="shared" si="83"/>
        <v>#NUM!</v>
      </c>
      <c r="AS33" s="32" t="str">
        <f t="shared" si="58"/>
        <v>-0.000170731707317073</v>
      </c>
      <c r="AT33" s="32" t="str">
        <f t="shared" si="59"/>
        <v>3.37258935556102E-06i</v>
      </c>
      <c r="AU33" s="32">
        <f t="shared" si="84"/>
        <v>3.3725893555610201E-6</v>
      </c>
      <c r="AV33" s="32">
        <f t="shared" si="85"/>
        <v>1.5707963267948966</v>
      </c>
      <c r="AW33" s="32" t="str">
        <f t="shared" si="60"/>
        <v>1+0.000718053235092576i</v>
      </c>
      <c r="AX33" s="32">
        <f t="shared" si="86"/>
        <v>1.000000257800191</v>
      </c>
      <c r="AY33" s="32">
        <f t="shared" si="87"/>
        <v>7.1805311168309091E-4</v>
      </c>
      <c r="AZ33" s="32" t="str">
        <f t="shared" si="61"/>
        <v>1+0.013643011466759i</v>
      </c>
      <c r="BA33" s="32">
        <f t="shared" si="88"/>
        <v>1.0000930615507149</v>
      </c>
      <c r="BB33" s="32">
        <f t="shared" si="89"/>
        <v>1.3642165095358387E-2</v>
      </c>
      <c r="BC33" s="60" t="str">
        <f t="shared" si="90"/>
        <v>-0.654304101529778+50.6238008380544i</v>
      </c>
      <c r="BD33" s="51">
        <f t="shared" si="91"/>
        <v>34.087820411917725</v>
      </c>
      <c r="BE33" s="63">
        <f t="shared" si="92"/>
        <v>90.740497070619043</v>
      </c>
      <c r="BF33" s="60" t="str">
        <f t="shared" si="93"/>
        <v>41.02728345195+1177.76825202671i</v>
      </c>
      <c r="BG33" s="66">
        <f t="shared" si="94"/>
        <v>61.426463665056673</v>
      </c>
      <c r="BH33" s="63">
        <f t="shared" si="95"/>
        <v>88.004921553403804</v>
      </c>
      <c r="BI33" s="60" t="e">
        <f t="shared" si="96"/>
        <v>#NUM!</v>
      </c>
      <c r="BJ33" s="66" t="e">
        <f t="shared" si="97"/>
        <v>#NUM!</v>
      </c>
      <c r="BK33" s="63" t="e">
        <f t="shared" si="98"/>
        <v>#NUM!</v>
      </c>
      <c r="BL33" s="51">
        <f t="shared" si="99"/>
        <v>61.426463665056673</v>
      </c>
      <c r="BM33" s="63">
        <f t="shared" si="100"/>
        <v>88.004921553403804</v>
      </c>
    </row>
    <row r="34" spans="1:65" x14ac:dyDescent="0.3">
      <c r="A34" t="s">
        <v>197</v>
      </c>
      <c r="B34" s="28">
        <f>(Gcomp*(VOUT/IOUT)*(1-DC_VIN_Var))/(R_cs*Acs*(1+DC_VIN_Var))</f>
        <v>23.303571428571423</v>
      </c>
      <c r="C34" t="s">
        <v>147</v>
      </c>
      <c r="E34" t="s">
        <v>201</v>
      </c>
      <c r="K34" s="32"/>
      <c r="N34" s="11">
        <v>16</v>
      </c>
      <c r="O34" s="52">
        <f t="shared" si="62"/>
        <v>14.454397707459275</v>
      </c>
      <c r="P34" s="50" t="str">
        <f t="shared" si="50"/>
        <v>23.3035714285714</v>
      </c>
      <c r="Q34" s="18" t="str">
        <f t="shared" si="51"/>
        <v>1+0.0486533889105205i</v>
      </c>
      <c r="R34" s="18">
        <f t="shared" si="63"/>
        <v>1.0011828765277992</v>
      </c>
      <c r="S34" s="18">
        <f t="shared" si="64"/>
        <v>4.8615053350422856E-2</v>
      </c>
      <c r="T34" s="18" t="str">
        <f t="shared" si="52"/>
        <v>1+0.0000908196592996384i</v>
      </c>
      <c r="U34" s="18">
        <f t="shared" si="65"/>
        <v>1.0000000041241053</v>
      </c>
      <c r="V34" s="18">
        <f t="shared" si="66"/>
        <v>9.081965904993851E-5</v>
      </c>
      <c r="W34" s="32" t="str">
        <f t="shared" si="53"/>
        <v>1-0.000222003611621338i</v>
      </c>
      <c r="X34" s="18">
        <f t="shared" si="67"/>
        <v>1.0000000246428016</v>
      </c>
      <c r="Y34" s="18">
        <f t="shared" si="68"/>
        <v>-2.2200360797414409E-4</v>
      </c>
      <c r="Z34" s="32" t="str">
        <f t="shared" si="54"/>
        <v>0.999999999164282+0.000108958615753259i</v>
      </c>
      <c r="AA34" s="18">
        <f t="shared" si="69"/>
        <v>1.0000000051002718</v>
      </c>
      <c r="AB34" s="18">
        <f t="shared" si="70"/>
        <v>1.0895861541313286E-4</v>
      </c>
      <c r="AC34" s="68" t="str">
        <f t="shared" si="71"/>
        <v>23.2482668478164-1.1367031479221i</v>
      </c>
      <c r="AD34" s="66">
        <f t="shared" si="72"/>
        <v>27.338181635798978</v>
      </c>
      <c r="AE34" s="63">
        <f t="shared" si="73"/>
        <v>-2.7991965332005329</v>
      </c>
      <c r="AF34" s="51" t="e">
        <f t="shared" si="74"/>
        <v>#NUM!</v>
      </c>
      <c r="AG34" s="51" t="str">
        <f t="shared" si="55"/>
        <v>1-0.068114744474729i</v>
      </c>
      <c r="AH34" s="51">
        <f t="shared" si="75"/>
        <v>1.0023171246740512</v>
      </c>
      <c r="AI34" s="51">
        <f t="shared" si="76"/>
        <v>-6.8009694613866328E-2</v>
      </c>
      <c r="AJ34" s="51" t="str">
        <f t="shared" si="56"/>
        <v>1+0.0000908196592996384i</v>
      </c>
      <c r="AK34" s="51">
        <f t="shared" si="77"/>
        <v>1.0000000041241053</v>
      </c>
      <c r="AL34" s="51">
        <f t="shared" si="78"/>
        <v>9.081965904993851E-5</v>
      </c>
      <c r="AM34" s="51" t="e">
        <f t="shared" si="57"/>
        <v>#NUM!</v>
      </c>
      <c r="AN34" s="51" t="e">
        <f t="shared" si="79"/>
        <v>#NUM!</v>
      </c>
      <c r="AO34" s="51" t="e">
        <f t="shared" si="80"/>
        <v>#NUM!</v>
      </c>
      <c r="AP34" s="60" t="e">
        <f t="shared" si="81"/>
        <v>#NUM!</v>
      </c>
      <c r="AQ34" s="51" t="e">
        <f t="shared" si="82"/>
        <v>#NUM!</v>
      </c>
      <c r="AR34" s="63" t="e">
        <f t="shared" si="83"/>
        <v>#NUM!</v>
      </c>
      <c r="AS34" s="32" t="str">
        <f t="shared" si="58"/>
        <v>-0.000170731707317073</v>
      </c>
      <c r="AT34" s="32" t="str">
        <f t="shared" si="59"/>
        <v>3.45114705338626E-06i</v>
      </c>
      <c r="AU34" s="32">
        <f t="shared" si="84"/>
        <v>3.4511470533862599E-6</v>
      </c>
      <c r="AV34" s="32">
        <f t="shared" si="85"/>
        <v>1.5707963267948966</v>
      </c>
      <c r="AW34" s="32" t="str">
        <f t="shared" si="60"/>
        <v>1+0.000734778843554758i</v>
      </c>
      <c r="AX34" s="32">
        <f t="shared" si="86"/>
        <v>1.000000269949938</v>
      </c>
      <c r="AY34" s="32">
        <f t="shared" si="87"/>
        <v>7.3477871131911413E-4</v>
      </c>
      <c r="AZ34" s="32" t="str">
        <f t="shared" si="61"/>
        <v>1+0.0139607980275404i</v>
      </c>
      <c r="BA34" s="32">
        <f t="shared" si="88"/>
        <v>1.0000974471928052</v>
      </c>
      <c r="BB34" s="32">
        <f t="shared" si="89"/>
        <v>1.3959891129017755E-2</v>
      </c>
      <c r="BC34" s="60" t="str">
        <f t="shared" si="90"/>
        <v>-0.65430408563052+49.4714840833499i</v>
      </c>
      <c r="BD34" s="51">
        <f t="shared" si="91"/>
        <v>33.887858395961374</v>
      </c>
      <c r="BE34" s="63">
        <f t="shared" si="92"/>
        <v>90.757743125120186</v>
      </c>
      <c r="BF34" s="60" t="str">
        <f t="shared" si="93"/>
        <v>41.022955707567+1150.87001284105i</v>
      </c>
      <c r="BG34" s="66">
        <f t="shared" si="94"/>
        <v>61.22604003176032</v>
      </c>
      <c r="BH34" s="63">
        <f t="shared" si="95"/>
        <v>87.958546591919642</v>
      </c>
      <c r="BI34" s="60" t="e">
        <f t="shared" si="96"/>
        <v>#NUM!</v>
      </c>
      <c r="BJ34" s="66" t="e">
        <f t="shared" si="97"/>
        <v>#NUM!</v>
      </c>
      <c r="BK34" s="63" t="e">
        <f t="shared" si="98"/>
        <v>#NUM!</v>
      </c>
      <c r="BL34" s="51">
        <f t="shared" si="99"/>
        <v>61.22604003176032</v>
      </c>
      <c r="BM34" s="63">
        <f t="shared" si="100"/>
        <v>87.958546591919642</v>
      </c>
    </row>
    <row r="35" spans="1:65" x14ac:dyDescent="0.3">
      <c r="A35" t="s">
        <v>214</v>
      </c>
      <c r="B35" s="30">
        <f>(1+DC_VIN_Var)/(Cout*(VOUT/IOUT))</f>
        <v>1866.6666666666665</v>
      </c>
      <c r="C35" t="s">
        <v>213</v>
      </c>
      <c r="E35" t="s">
        <v>204</v>
      </c>
      <c r="N35" s="11">
        <v>17</v>
      </c>
      <c r="O35" s="52">
        <f t="shared" si="62"/>
        <v>14.791083881682074</v>
      </c>
      <c r="P35" s="50" t="str">
        <f t="shared" si="50"/>
        <v>23.3035714285714</v>
      </c>
      <c r="Q35" s="18" t="str">
        <f t="shared" si="51"/>
        <v>1+0.0497866719228458i</v>
      </c>
      <c r="R35" s="18">
        <f t="shared" si="63"/>
        <v>1.0012385892988509</v>
      </c>
      <c r="S35" s="18">
        <f t="shared" si="64"/>
        <v>4.974559737408514E-2</v>
      </c>
      <c r="T35" s="18" t="str">
        <f t="shared" si="52"/>
        <v>1+0.0000929351209226456i</v>
      </c>
      <c r="U35" s="18">
        <f t="shared" si="65"/>
        <v>1.0000000043184682</v>
      </c>
      <c r="V35" s="18">
        <f t="shared" si="66"/>
        <v>9.2935120655087352E-5</v>
      </c>
      <c r="W35" s="32" t="str">
        <f t="shared" si="53"/>
        <v>1-0.000227174740033134i</v>
      </c>
      <c r="X35" s="18">
        <f t="shared" si="67"/>
        <v>1.000000025804181</v>
      </c>
      <c r="Y35" s="18">
        <f t="shared" si="68"/>
        <v>-2.2717473612509533E-4</v>
      </c>
      <c r="Z35" s="32" t="str">
        <f t="shared" si="54"/>
        <v>0.999999999124895+0.000111496587948921i</v>
      </c>
      <c r="AA35" s="18">
        <f t="shared" si="69"/>
        <v>1.0000000053406395</v>
      </c>
      <c r="AB35" s="18">
        <f t="shared" si="70"/>
        <v>1.1149658758446934E-4</v>
      </c>
      <c r="AC35" s="68" t="str">
        <f t="shared" si="71"/>
        <v>23.2456668678283-1.16305092122108i</v>
      </c>
      <c r="AD35" s="66">
        <f t="shared" si="72"/>
        <v>27.337698315689384</v>
      </c>
      <c r="AE35" s="63">
        <f t="shared" si="73"/>
        <v>-2.8642924262007381</v>
      </c>
      <c r="AF35" s="51" t="e">
        <f t="shared" si="74"/>
        <v>#NUM!</v>
      </c>
      <c r="AG35" s="51" t="str">
        <f t="shared" si="55"/>
        <v>1-0.0697013406919844i</v>
      </c>
      <c r="AH35" s="51">
        <f t="shared" si="75"/>
        <v>1.0024261952354696</v>
      </c>
      <c r="AI35" s="51">
        <f t="shared" si="76"/>
        <v>-6.9588792446940176E-2</v>
      </c>
      <c r="AJ35" s="51" t="str">
        <f t="shared" si="56"/>
        <v>1+0.0000929351209226456i</v>
      </c>
      <c r="AK35" s="51">
        <f t="shared" si="77"/>
        <v>1.0000000043184682</v>
      </c>
      <c r="AL35" s="51">
        <f t="shared" si="78"/>
        <v>9.2935120655087352E-5</v>
      </c>
      <c r="AM35" s="51" t="e">
        <f t="shared" si="57"/>
        <v>#NUM!</v>
      </c>
      <c r="AN35" s="51" t="e">
        <f t="shared" si="79"/>
        <v>#NUM!</v>
      </c>
      <c r="AO35" s="51" t="e">
        <f t="shared" si="80"/>
        <v>#NUM!</v>
      </c>
      <c r="AP35" s="60" t="e">
        <f t="shared" si="81"/>
        <v>#NUM!</v>
      </c>
      <c r="AQ35" s="51" t="e">
        <f t="shared" si="82"/>
        <v>#NUM!</v>
      </c>
      <c r="AR35" s="63" t="e">
        <f t="shared" si="83"/>
        <v>#NUM!</v>
      </c>
      <c r="AS35" s="32" t="str">
        <f t="shared" si="58"/>
        <v>-0.000170731707317073</v>
      </c>
      <c r="AT35" s="32" t="str">
        <f t="shared" si="59"/>
        <v>3.53153459506053E-06i</v>
      </c>
      <c r="AU35" s="32">
        <f t="shared" si="84"/>
        <v>3.53153459506053E-6</v>
      </c>
      <c r="AV35" s="32">
        <f t="shared" si="85"/>
        <v>1.5707963267948966</v>
      </c>
      <c r="AW35" s="32" t="str">
        <f t="shared" si="60"/>
        <v>1+0.00075189404148574i</v>
      </c>
      <c r="AX35" s="32">
        <f t="shared" si="86"/>
        <v>1.0000002826722849</v>
      </c>
      <c r="AY35" s="32">
        <f t="shared" si="87"/>
        <v>7.5189389979269695E-4</v>
      </c>
      <c r="AZ35" s="32" t="str">
        <f t="shared" si="61"/>
        <v>1+0.0142859867882291i</v>
      </c>
      <c r="BA35" s="32">
        <f t="shared" si="88"/>
        <v>1.0001020395032265</v>
      </c>
      <c r="BB35" s="32">
        <f t="shared" si="89"/>
        <v>1.4285015034308974E-2</v>
      </c>
      <c r="BC35" s="60" t="str">
        <f t="shared" si="90"/>
        <v>-0.65430406898196+48.3453977643379i</v>
      </c>
      <c r="BD35" s="51">
        <f t="shared" si="91"/>
        <v>33.687898169779821</v>
      </c>
      <c r="BE35" s="63">
        <f t="shared" si="92"/>
        <v>90.775390724647082</v>
      </c>
      <c r="BF35" s="60" t="str">
        <f t="shared" si="93"/>
        <v>41.0184249887935+1124.58199997264i</v>
      </c>
      <c r="BG35" s="66">
        <f t="shared" si="94"/>
        <v>61.025596485469215</v>
      </c>
      <c r="BH35" s="63">
        <f t="shared" si="95"/>
        <v>87.911098298446348</v>
      </c>
      <c r="BI35" s="60" t="e">
        <f t="shared" si="96"/>
        <v>#NUM!</v>
      </c>
      <c r="BJ35" s="66" t="e">
        <f t="shared" si="97"/>
        <v>#NUM!</v>
      </c>
      <c r="BK35" s="63" t="e">
        <f t="shared" si="98"/>
        <v>#NUM!</v>
      </c>
      <c r="BL35" s="51">
        <f t="shared" si="99"/>
        <v>61.025596485469215</v>
      </c>
      <c r="BM35" s="63">
        <f t="shared" si="100"/>
        <v>87.911098298446348</v>
      </c>
    </row>
    <row r="36" spans="1:65" x14ac:dyDescent="0.3">
      <c r="B36" s="29">
        <f>wp_lf/(2*PI())</f>
        <v>297.08922710487127</v>
      </c>
      <c r="C36" t="s">
        <v>67</v>
      </c>
      <c r="N36" s="11">
        <v>18</v>
      </c>
      <c r="O36" s="52">
        <f t="shared" si="62"/>
        <v>15.135612484362087</v>
      </c>
      <c r="P36" s="50" t="str">
        <f t="shared" si="50"/>
        <v>23.3035714285714</v>
      </c>
      <c r="Q36" s="18" t="str">
        <f t="shared" si="51"/>
        <v>1+0.0509463524876291i</v>
      </c>
      <c r="R36" s="18">
        <f t="shared" si="63"/>
        <v>1.001296924409435</v>
      </c>
      <c r="S36" s="18">
        <f t="shared" si="64"/>
        <v>5.0902343393952013E-2</v>
      </c>
      <c r="T36" s="18" t="str">
        <f t="shared" si="52"/>
        <v>1+0.0000950998579769078i</v>
      </c>
      <c r="U36" s="18">
        <f t="shared" si="65"/>
        <v>1.0000000045219914</v>
      </c>
      <c r="V36" s="18">
        <f t="shared" si="66"/>
        <v>9.5099857690213968E-5</v>
      </c>
      <c r="W36" s="32" t="str">
        <f t="shared" si="53"/>
        <v>1-0.000232466319499108i</v>
      </c>
      <c r="X36" s="18">
        <f t="shared" si="67"/>
        <v>1.0000000270202944</v>
      </c>
      <c r="Y36" s="18">
        <f t="shared" si="68"/>
        <v>-2.3246631531156914E-4</v>
      </c>
      <c r="Z36" s="32" t="str">
        <f t="shared" si="54"/>
        <v>0.999999999083653+0.000114093677111346i</v>
      </c>
      <c r="AA36" s="18">
        <f t="shared" si="69"/>
        <v>1.0000000055923366</v>
      </c>
      <c r="AB36" s="18">
        <f t="shared" si="70"/>
        <v>1.1409367672082897E-4</v>
      </c>
      <c r="AC36" s="68" t="str">
        <f t="shared" si="71"/>
        <v>23.2429449747125-1.19000318682466i</v>
      </c>
      <c r="AD36" s="66">
        <f t="shared" si="72"/>
        <v>27.33719227505064</v>
      </c>
      <c r="AE36" s="63">
        <f t="shared" si="73"/>
        <v>-2.9308970482126759</v>
      </c>
      <c r="AF36" s="51" t="e">
        <f t="shared" si="74"/>
        <v>#NUM!</v>
      </c>
      <c r="AG36" s="51" t="str">
        <f t="shared" si="55"/>
        <v>1-0.071324893482681i</v>
      </c>
      <c r="AH36" s="51">
        <f t="shared" si="75"/>
        <v>1.0025403934158044</v>
      </c>
      <c r="AI36" s="51">
        <f t="shared" si="76"/>
        <v>-7.120431236373051E-2</v>
      </c>
      <c r="AJ36" s="51" t="str">
        <f t="shared" si="56"/>
        <v>1+0.0000950998579769078i</v>
      </c>
      <c r="AK36" s="51">
        <f t="shared" si="77"/>
        <v>1.0000000045219914</v>
      </c>
      <c r="AL36" s="51">
        <f t="shared" si="78"/>
        <v>9.5099857690213968E-5</v>
      </c>
      <c r="AM36" s="51" t="e">
        <f t="shared" si="57"/>
        <v>#NUM!</v>
      </c>
      <c r="AN36" s="51" t="e">
        <f t="shared" si="79"/>
        <v>#NUM!</v>
      </c>
      <c r="AO36" s="51" t="e">
        <f t="shared" si="80"/>
        <v>#NUM!</v>
      </c>
      <c r="AP36" s="60" t="e">
        <f t="shared" si="81"/>
        <v>#NUM!</v>
      </c>
      <c r="AQ36" s="51" t="e">
        <f t="shared" si="82"/>
        <v>#NUM!</v>
      </c>
      <c r="AR36" s="63" t="e">
        <f t="shared" si="83"/>
        <v>#NUM!</v>
      </c>
      <c r="AS36" s="32" t="str">
        <f t="shared" si="58"/>
        <v>-0.000170731707317073</v>
      </c>
      <c r="AT36" s="32" t="str">
        <f t="shared" si="59"/>
        <v>0.0000036137946031225i</v>
      </c>
      <c r="AU36" s="32">
        <f t="shared" si="84"/>
        <v>3.6137946031225001E-6</v>
      </c>
      <c r="AV36" s="32">
        <f t="shared" si="85"/>
        <v>1.5707963267948966</v>
      </c>
      <c r="AW36" s="32" t="str">
        <f t="shared" si="60"/>
        <v>1+0.000769407903590013i</v>
      </c>
      <c r="AX36" s="32">
        <f t="shared" si="86"/>
        <v>1.0000002959942174</v>
      </c>
      <c r="AY36" s="32">
        <f t="shared" si="87"/>
        <v>7.6940775176318431E-4</v>
      </c>
      <c r="AZ36" s="32" t="str">
        <f t="shared" si="61"/>
        <v>1+0.0146187501682103i</v>
      </c>
      <c r="BA36" s="32">
        <f t="shared" si="88"/>
        <v>1.0001068482199693</v>
      </c>
      <c r="BB36" s="32">
        <f t="shared" si="89"/>
        <v>1.4617708921133024E-2</v>
      </c>
      <c r="BC36" s="60" t="str">
        <f t="shared" si="90"/>
        <v>-0.654304051548776+47.2449448151461i</v>
      </c>
      <c r="BD36" s="51">
        <f t="shared" si="91"/>
        <v>33.487939817687952</v>
      </c>
      <c r="BE36" s="63">
        <f t="shared" si="92"/>
        <v>90.793449210430964</v>
      </c>
      <c r="BF36" s="60" t="str">
        <f t="shared" si="93"/>
        <v>41.0136818244994+1098.89027657826i</v>
      </c>
      <c r="BG36" s="66">
        <f t="shared" si="94"/>
        <v>60.825132092738556</v>
      </c>
      <c r="BH36" s="63">
        <f t="shared" si="95"/>
        <v>87.862552162218293</v>
      </c>
      <c r="BI36" s="60" t="e">
        <f t="shared" si="96"/>
        <v>#NUM!</v>
      </c>
      <c r="BJ36" s="66" t="e">
        <f t="shared" si="97"/>
        <v>#NUM!</v>
      </c>
      <c r="BK36" s="63" t="e">
        <f t="shared" si="98"/>
        <v>#NUM!</v>
      </c>
      <c r="BL36" s="51">
        <f t="shared" si="99"/>
        <v>60.825132092738556</v>
      </c>
      <c r="BM36" s="63">
        <f t="shared" si="100"/>
        <v>87.862552162218293</v>
      </c>
    </row>
    <row r="37" spans="1:65" x14ac:dyDescent="0.3">
      <c r="B37" s="1"/>
      <c r="C37" t="s">
        <v>235</v>
      </c>
      <c r="E37" t="s">
        <v>234</v>
      </c>
      <c r="N37" s="11">
        <v>19</v>
      </c>
      <c r="O37" s="52">
        <f t="shared" si="62"/>
        <v>15.488166189124817</v>
      </c>
      <c r="P37" s="50" t="str">
        <f t="shared" si="50"/>
        <v>23.3035714285714</v>
      </c>
      <c r="Q37" s="18" t="str">
        <f t="shared" si="51"/>
        <v>1+0.052133045482856i</v>
      </c>
      <c r="R37" s="18">
        <f t="shared" si="63"/>
        <v>1.0013580051266968</v>
      </c>
      <c r="S37" s="18">
        <f t="shared" si="64"/>
        <v>5.2085892342666557E-2</v>
      </c>
      <c r="T37" s="18" t="str">
        <f t="shared" si="52"/>
        <v>1+0.0000973150182346647i</v>
      </c>
      <c r="U37" s="18">
        <f t="shared" si="65"/>
        <v>1.0000000047351063</v>
      </c>
      <c r="V37" s="18">
        <f t="shared" si="66"/>
        <v>9.7315017927466721E-5</v>
      </c>
      <c r="W37" s="32" t="str">
        <f t="shared" si="53"/>
        <v>1-0.000237881155684736i</v>
      </c>
      <c r="X37" s="18">
        <f t="shared" si="67"/>
        <v>1.0000000282937218</v>
      </c>
      <c r="Y37" s="18">
        <f t="shared" si="68"/>
        <v>-2.3788115119770728E-4</v>
      </c>
      <c r="Z37" s="32" t="str">
        <f t="shared" si="54"/>
        <v>0.999999999040467+0.000116751260251583i</v>
      </c>
      <c r="AA37" s="18">
        <f t="shared" si="69"/>
        <v>1.0000000058558953</v>
      </c>
      <c r="AB37" s="18">
        <f t="shared" si="70"/>
        <v>1.1675125983313646E-4</v>
      </c>
      <c r="AC37" s="68" t="str">
        <f t="shared" si="71"/>
        <v>23.2400954824738-1.21757336916049i</v>
      </c>
      <c r="AD37" s="66">
        <f t="shared" si="72"/>
        <v>27.336662448644017</v>
      </c>
      <c r="AE37" s="63">
        <f t="shared" si="73"/>
        <v>-2.999045004027701</v>
      </c>
      <c r="AF37" s="51" t="e">
        <f t="shared" si="74"/>
        <v>#NUM!</v>
      </c>
      <c r="AG37" s="51" t="str">
        <f t="shared" si="55"/>
        <v>1-0.0729862636759987i</v>
      </c>
      <c r="AH37" s="51">
        <f t="shared" si="75"/>
        <v>1.0026599596500214</v>
      </c>
      <c r="AI37" s="51">
        <f t="shared" si="76"/>
        <v>-7.285707718452035E-2</v>
      </c>
      <c r="AJ37" s="51" t="str">
        <f t="shared" si="56"/>
        <v>1+0.0000973150182346647i</v>
      </c>
      <c r="AK37" s="51">
        <f t="shared" si="77"/>
        <v>1.0000000047351063</v>
      </c>
      <c r="AL37" s="51">
        <f t="shared" si="78"/>
        <v>9.7315017927466721E-5</v>
      </c>
      <c r="AM37" s="51" t="e">
        <f t="shared" si="57"/>
        <v>#NUM!</v>
      </c>
      <c r="AN37" s="51" t="e">
        <f t="shared" si="79"/>
        <v>#NUM!</v>
      </c>
      <c r="AO37" s="51" t="e">
        <f t="shared" si="80"/>
        <v>#NUM!</v>
      </c>
      <c r="AP37" s="60" t="e">
        <f t="shared" si="81"/>
        <v>#NUM!</v>
      </c>
      <c r="AQ37" s="51" t="e">
        <f t="shared" si="82"/>
        <v>#NUM!</v>
      </c>
      <c r="AR37" s="63" t="e">
        <f t="shared" si="83"/>
        <v>#NUM!</v>
      </c>
      <c r="AS37" s="32" t="str">
        <f t="shared" si="58"/>
        <v>-0.000170731707317073</v>
      </c>
      <c r="AT37" s="32" t="str">
        <f t="shared" si="59"/>
        <v>3.69797069291726E-06i</v>
      </c>
      <c r="AU37" s="32">
        <f t="shared" si="84"/>
        <v>3.69797069291726E-6</v>
      </c>
      <c r="AV37" s="32">
        <f t="shared" si="85"/>
        <v>1.5707963267948966</v>
      </c>
      <c r="AW37" s="32" t="str">
        <f t="shared" si="60"/>
        <v>1+0.000787329715949086i</v>
      </c>
      <c r="AX37" s="32">
        <f t="shared" si="86"/>
        <v>1.0000003099439927</v>
      </c>
      <c r="AY37" s="32">
        <f t="shared" si="87"/>
        <v>7.8732955326371069E-4</v>
      </c>
      <c r="AZ37" s="32" t="str">
        <f t="shared" si="61"/>
        <v>1+0.0149592646030327i</v>
      </c>
      <c r="BA37" s="32">
        <f t="shared" si="88"/>
        <v>1.0001118835397687</v>
      </c>
      <c r="BB37" s="32">
        <f t="shared" si="89"/>
        <v>1.4958148893428959E-2</v>
      </c>
      <c r="BC37" s="60" t="str">
        <f t="shared" si="90"/>
        <v>-0.654304033293994+46.1695417610551i</v>
      </c>
      <c r="BD37" s="51">
        <f t="shared" si="91"/>
        <v>33.287983427971142</v>
      </c>
      <c r="BE37" s="63">
        <f t="shared" si="92"/>
        <v>90.811928140433835</v>
      </c>
      <c r="BF37" s="60" t="str">
        <f t="shared" si="93"/>
        <v>41.0087163062837+1073.78122207526i</v>
      </c>
      <c r="BG37" s="66">
        <f t="shared" si="94"/>
        <v>60.624645876615197</v>
      </c>
      <c r="BH37" s="63">
        <f t="shared" si="95"/>
        <v>87.812883136406143</v>
      </c>
      <c r="BI37" s="60" t="e">
        <f t="shared" si="96"/>
        <v>#NUM!</v>
      </c>
      <c r="BJ37" s="66" t="e">
        <f t="shared" si="97"/>
        <v>#NUM!</v>
      </c>
      <c r="BK37" s="63" t="e">
        <f t="shared" si="98"/>
        <v>#NUM!</v>
      </c>
      <c r="BL37" s="51">
        <f t="shared" si="99"/>
        <v>60.624645876615197</v>
      </c>
      <c r="BM37" s="63">
        <f t="shared" si="100"/>
        <v>87.812883136406143</v>
      </c>
    </row>
    <row r="38" spans="1:65" x14ac:dyDescent="0.3">
      <c r="A38" t="s">
        <v>215</v>
      </c>
      <c r="B38" s="30">
        <f>((VOUT/IOUT)*((1-DC_VIN_Var)^2))/(Lm*DC_VIN_Var)</f>
        <v>409090.90909090912</v>
      </c>
      <c r="C38" t="s">
        <v>213</v>
      </c>
      <c r="E38" t="s">
        <v>205</v>
      </c>
      <c r="N38" s="11">
        <v>20</v>
      </c>
      <c r="O38" s="52">
        <f t="shared" si="62"/>
        <v>15.848931924611136</v>
      </c>
      <c r="P38" s="50" t="str">
        <f t="shared" si="50"/>
        <v>23.3035714285714</v>
      </c>
      <c r="Q38" s="18" t="str">
        <f t="shared" si="51"/>
        <v>1+0.0533473801088604i</v>
      </c>
      <c r="R38" s="18">
        <f t="shared" si="63"/>
        <v>1.001421960496413</v>
      </c>
      <c r="S38" s="18">
        <f t="shared" si="64"/>
        <v>5.3296858482810419E-2</v>
      </c>
      <c r="T38" s="18" t="str">
        <f t="shared" si="52"/>
        <v>1+0.0000995817762032062i</v>
      </c>
      <c r="U38" s="18">
        <f t="shared" si="65"/>
        <v>1.0000000049582649</v>
      </c>
      <c r="V38" s="18">
        <f t="shared" si="66"/>
        <v>9.9581775874037632E-5</v>
      </c>
      <c r="W38" s="32" t="str">
        <f t="shared" si="53"/>
        <v>1-0.000243422119607837i</v>
      </c>
      <c r="X38" s="18">
        <f t="shared" si="67"/>
        <v>1.0000000296271638</v>
      </c>
      <c r="Y38" s="18">
        <f t="shared" si="68"/>
        <v>-2.4342211479989911E-4</v>
      </c>
      <c r="Z38" s="32" t="str">
        <f t="shared" si="54"/>
        <v>0.999999998995245+0.000119470746455392i</v>
      </c>
      <c r="AA38" s="18">
        <f t="shared" si="69"/>
        <v>1.0000000061318746</v>
      </c>
      <c r="AB38" s="18">
        <f t="shared" si="70"/>
        <v>1.1947074600701851E-4</v>
      </c>
      <c r="AC38" s="68" t="str">
        <f t="shared" si="71"/>
        <v>23.2371124428587-1.24577515890087i</v>
      </c>
      <c r="AD38" s="66">
        <f t="shared" si="72"/>
        <v>27.336107721560616</v>
      </c>
      <c r="AE38" s="63">
        <f t="shared" si="73"/>
        <v>-3.0687716662367248</v>
      </c>
      <c r="AF38" s="51" t="e">
        <f t="shared" si="74"/>
        <v>#NUM!</v>
      </c>
      <c r="AG38" s="51" t="str">
        <f t="shared" si="55"/>
        <v>1-0.0746863321524048i</v>
      </c>
      <c r="AH38" s="51">
        <f t="shared" si="75"/>
        <v>1.0027851455872188</v>
      </c>
      <c r="AI38" s="51">
        <f t="shared" si="76"/>
        <v>-7.4547927088882221E-2</v>
      </c>
      <c r="AJ38" s="51" t="str">
        <f t="shared" si="56"/>
        <v>1+0.0000995817762032062i</v>
      </c>
      <c r="AK38" s="51">
        <f t="shared" si="77"/>
        <v>1.0000000049582649</v>
      </c>
      <c r="AL38" s="51">
        <f t="shared" si="78"/>
        <v>9.9581775874037632E-5</v>
      </c>
      <c r="AM38" s="51" t="e">
        <f t="shared" si="57"/>
        <v>#NUM!</v>
      </c>
      <c r="AN38" s="51" t="e">
        <f t="shared" si="79"/>
        <v>#NUM!</v>
      </c>
      <c r="AO38" s="51" t="e">
        <f t="shared" si="80"/>
        <v>#NUM!</v>
      </c>
      <c r="AP38" s="60" t="e">
        <f t="shared" si="81"/>
        <v>#NUM!</v>
      </c>
      <c r="AQ38" s="51" t="e">
        <f t="shared" si="82"/>
        <v>#NUM!</v>
      </c>
      <c r="AR38" s="63" t="e">
        <f t="shared" si="83"/>
        <v>#NUM!</v>
      </c>
      <c r="AS38" s="32" t="str">
        <f t="shared" si="58"/>
        <v>-0.000170731707317073</v>
      </c>
      <c r="AT38" s="32" t="str">
        <f t="shared" si="59"/>
        <v>3.78410749572183E-06i</v>
      </c>
      <c r="AU38" s="32">
        <f t="shared" si="84"/>
        <v>3.7841074957218301E-6</v>
      </c>
      <c r="AV38" s="32">
        <f t="shared" si="85"/>
        <v>1.5707963267948966</v>
      </c>
      <c r="AW38" s="32" t="str">
        <f t="shared" si="60"/>
        <v>1+0.000805668980945097i</v>
      </c>
      <c r="AX38" s="32">
        <f t="shared" si="86"/>
        <v>1.0000003245512008</v>
      </c>
      <c r="AY38" s="32">
        <f t="shared" si="87"/>
        <v>8.0566880662457979E-4</v>
      </c>
      <c r="AZ38" s="32" t="str">
        <f t="shared" si="61"/>
        <v>1+0.0153077106379569i</v>
      </c>
      <c r="BA38" s="32">
        <f t="shared" si="88"/>
        <v>1.0001171561397073</v>
      </c>
      <c r="BB38" s="32">
        <f t="shared" si="89"/>
        <v>1.5306515141140958E-2</v>
      </c>
      <c r="BC38" s="60" t="str">
        <f t="shared" si="90"/>
        <v>-0.65430401417889+45.1186184091306i</v>
      </c>
      <c r="BD38" s="51">
        <f t="shared" si="91"/>
        <v>33.08802909307169</v>
      </c>
      <c r="BE38" s="63">
        <f t="shared" si="92"/>
        <v>90.830837294335524</v>
      </c>
      <c r="BF38" s="60" t="str">
        <f t="shared" si="93"/>
        <v>41.0035180687337+1049.24152492664i</v>
      </c>
      <c r="BG38" s="66">
        <f t="shared" si="94"/>
        <v>60.424136814632341</v>
      </c>
      <c r="BH38" s="63">
        <f t="shared" si="95"/>
        <v>87.762065628098824</v>
      </c>
      <c r="BI38" s="60" t="e">
        <f t="shared" si="96"/>
        <v>#NUM!</v>
      </c>
      <c r="BJ38" s="66" t="e">
        <f t="shared" si="97"/>
        <v>#NUM!</v>
      </c>
      <c r="BK38" s="63" t="e">
        <f t="shared" si="98"/>
        <v>#NUM!</v>
      </c>
      <c r="BL38" s="51">
        <f t="shared" si="99"/>
        <v>60.424136814632341</v>
      </c>
      <c r="BM38" s="63">
        <f t="shared" si="100"/>
        <v>87.762065628098824</v>
      </c>
    </row>
    <row r="39" spans="1:65" x14ac:dyDescent="0.3">
      <c r="A39" s="32"/>
      <c r="B39" s="1">
        <f>wz_rhp/2*PI()</f>
        <v>642598.49732518499</v>
      </c>
      <c r="C39" s="32" t="s">
        <v>67</v>
      </c>
      <c r="D39" s="32"/>
      <c r="E39" s="32"/>
      <c r="F39" s="32"/>
      <c r="G39" s="32"/>
      <c r="N39" s="11">
        <v>21</v>
      </c>
      <c r="O39" s="52">
        <f t="shared" si="62"/>
        <v>16.218100973589298</v>
      </c>
      <c r="P39" s="50" t="str">
        <f t="shared" si="50"/>
        <v>23.3035714285714</v>
      </c>
      <c r="Q39" s="18" t="str">
        <f t="shared" si="51"/>
        <v>1+0.0545900002219344i</v>
      </c>
      <c r="R39" s="18">
        <f t="shared" si="63"/>
        <v>1.0014889256123758</v>
      </c>
      <c r="S39" s="18">
        <f t="shared" si="64"/>
        <v>5.4535869670138785E-2</v>
      </c>
      <c r="T39" s="18" t="str">
        <f t="shared" si="52"/>
        <v>1+0.000101901333747611i</v>
      </c>
      <c r="U39" s="18">
        <f t="shared" si="65"/>
        <v>1.0000000051919409</v>
      </c>
      <c r="V39" s="18">
        <f t="shared" si="66"/>
        <v>1.0190133339490053E-4</v>
      </c>
      <c r="W39" s="32" t="str">
        <f t="shared" si="53"/>
        <v>1-0.000249092149160827i</v>
      </c>
      <c r="X39" s="18">
        <f t="shared" si="67"/>
        <v>1.0000000310234489</v>
      </c>
      <c r="Y39" s="18">
        <f t="shared" si="68"/>
        <v>-2.4909214400902873E-4</v>
      </c>
      <c r="Z39" s="32" t="str">
        <f t="shared" si="54"/>
        <v>0.999999998947893+0.000122253577630353i</v>
      </c>
      <c r="AA39" s="18">
        <f t="shared" si="69"/>
        <v>1.0000000064208616</v>
      </c>
      <c r="AB39" s="18">
        <f t="shared" si="70"/>
        <v>1.2225357714991207E-4</v>
      </c>
      <c r="AC39" s="68" t="str">
        <f t="shared" si="71"/>
        <v>23.2339896335416-1.27462251589885i</v>
      </c>
      <c r="AD39" s="66">
        <f t="shared" si="72"/>
        <v>27.335526926931543</v>
      </c>
      <c r="AE39" s="63">
        <f t="shared" si="73"/>
        <v>-3.1401131904068351</v>
      </c>
      <c r="AF39" s="51" t="e">
        <f t="shared" si="74"/>
        <v>#NUM!</v>
      </c>
      <c r="AG39" s="51" t="str">
        <f t="shared" si="55"/>
        <v>1-0.0764260003107084i</v>
      </c>
      <c r="AH39" s="51">
        <f t="shared" si="75"/>
        <v>1.0029162146079265</v>
      </c>
      <c r="AI39" s="51">
        <f t="shared" si="76"/>
        <v>-7.627771989339284E-2</v>
      </c>
      <c r="AJ39" s="51" t="str">
        <f t="shared" si="56"/>
        <v>1+0.000101901333747611i</v>
      </c>
      <c r="AK39" s="51">
        <f t="shared" si="77"/>
        <v>1.0000000051919409</v>
      </c>
      <c r="AL39" s="51">
        <f t="shared" si="78"/>
        <v>1.0190133339490053E-4</v>
      </c>
      <c r="AM39" s="51" t="e">
        <f t="shared" si="57"/>
        <v>#NUM!</v>
      </c>
      <c r="AN39" s="51" t="e">
        <f t="shared" si="79"/>
        <v>#NUM!</v>
      </c>
      <c r="AO39" s="51" t="e">
        <f t="shared" si="80"/>
        <v>#NUM!</v>
      </c>
      <c r="AP39" s="60" t="e">
        <f t="shared" si="81"/>
        <v>#NUM!</v>
      </c>
      <c r="AQ39" s="51" t="e">
        <f t="shared" si="82"/>
        <v>#NUM!</v>
      </c>
      <c r="AR39" s="63" t="e">
        <f t="shared" si="83"/>
        <v>#NUM!</v>
      </c>
      <c r="AS39" s="32" t="str">
        <f t="shared" si="58"/>
        <v>-0.000170731707317073</v>
      </c>
      <c r="AT39" s="32" t="str">
        <f t="shared" si="59"/>
        <v>3.87225068240923E-06i</v>
      </c>
      <c r="AU39" s="32">
        <f t="shared" si="84"/>
        <v>3.8722506824092302E-6</v>
      </c>
      <c r="AV39" s="32">
        <f t="shared" si="85"/>
        <v>1.5707963267948966</v>
      </c>
      <c r="AW39" s="32" t="str">
        <f t="shared" si="60"/>
        <v>1+0.000824435422299092i</v>
      </c>
      <c r="AX39" s="32">
        <f t="shared" si="86"/>
        <v>1.0000003398468249</v>
      </c>
      <c r="AY39" s="32">
        <f t="shared" si="87"/>
        <v>8.2443523551129589E-4</v>
      </c>
      <c r="AZ39" s="32" t="str">
        <f t="shared" si="61"/>
        <v>1+0.0156642730236828i</v>
      </c>
      <c r="BA39" s="32">
        <f t="shared" si="88"/>
        <v>1.0001226771998326</v>
      </c>
      <c r="BB39" s="32">
        <f t="shared" si="89"/>
        <v>1.5662992034251432E-2</v>
      </c>
      <c r="BC39" s="60" t="str">
        <f t="shared" si="90"/>
        <v>-0.654303994162918+44.0916175459005i</v>
      </c>
      <c r="BD39" s="51">
        <f t="shared" si="91"/>
        <v>32.888076909784594</v>
      </c>
      <c r="BE39" s="63">
        <f t="shared" si="92"/>
        <v>90.850186678632966</v>
      </c>
      <c r="BF39" s="60" t="str">
        <f t="shared" si="93"/>
        <v>40.9980762688395+1025.25817559074i</v>
      </c>
      <c r="BG39" s="66">
        <f t="shared" si="94"/>
        <v>60.223603836716173</v>
      </c>
      <c r="BH39" s="63">
        <f t="shared" si="95"/>
        <v>87.710073488226143</v>
      </c>
      <c r="BI39" s="60" t="e">
        <f t="shared" si="96"/>
        <v>#NUM!</v>
      </c>
      <c r="BJ39" s="66" t="e">
        <f t="shared" si="97"/>
        <v>#NUM!</v>
      </c>
      <c r="BK39" s="63" t="e">
        <f t="shared" si="98"/>
        <v>#NUM!</v>
      </c>
      <c r="BL39" s="51">
        <f t="shared" si="99"/>
        <v>60.223603836716173</v>
      </c>
      <c r="BM39" s="63">
        <f t="shared" si="100"/>
        <v>87.710073488226143</v>
      </c>
    </row>
    <row r="40" spans="1:65" x14ac:dyDescent="0.3">
      <c r="A40" s="32"/>
      <c r="B40" s="1"/>
      <c r="C40" s="32"/>
      <c r="D40" s="32"/>
      <c r="E40" s="32"/>
      <c r="F40" s="32"/>
      <c r="G40" s="32"/>
      <c r="N40" s="11">
        <v>22</v>
      </c>
      <c r="O40" s="52">
        <f t="shared" si="62"/>
        <v>16.595869074375614</v>
      </c>
      <c r="P40" s="50" t="str">
        <f t="shared" si="50"/>
        <v>23.3035714285714</v>
      </c>
      <c r="Q40" s="18" t="str">
        <f t="shared" si="51"/>
        <v>1+0.0558615646757104i</v>
      </c>
      <c r="R40" s="18">
        <f t="shared" si="63"/>
        <v>1.0015590418981892</v>
      </c>
      <c r="S40" s="18">
        <f t="shared" si="64"/>
        <v>5.5803567619627278E-2</v>
      </c>
      <c r="T40" s="18" t="str">
        <f t="shared" si="52"/>
        <v>1+0.000104274920727993i</v>
      </c>
      <c r="U40" s="18">
        <f t="shared" si="65"/>
        <v>1.0000000054366296</v>
      </c>
      <c r="V40" s="18">
        <f t="shared" si="66"/>
        <v>1.0427492035005693E-4</v>
      </c>
      <c r="W40" s="32" t="str">
        <f t="shared" si="53"/>
        <v>1-0.000254894250668427i</v>
      </c>
      <c r="X40" s="18">
        <f t="shared" si="67"/>
        <v>1.0000000324855389</v>
      </c>
      <c r="Y40" s="18">
        <f t="shared" si="68"/>
        <v>-2.5489424514817571E-4</v>
      </c>
      <c r="Z40" s="32" t="str">
        <f t="shared" si="54"/>
        <v>0.999999998898308+0.000125101229270391i</v>
      </c>
      <c r="AA40" s="18">
        <f t="shared" si="69"/>
        <v>1.0000000067234667</v>
      </c>
      <c r="AB40" s="18">
        <f t="shared" si="70"/>
        <v>1.2510122875558936E-4</v>
      </c>
      <c r="AC40" s="68" t="str">
        <f t="shared" si="71"/>
        <v>23.2307205458065-1.30412967196604i</v>
      </c>
      <c r="AD40" s="66">
        <f t="shared" si="72"/>
        <v>27.334918843535192</v>
      </c>
      <c r="AE40" s="63">
        <f t="shared" si="73"/>
        <v>-3.2131065304211877</v>
      </c>
      <c r="AF40" s="51" t="e">
        <f t="shared" si="74"/>
        <v>#NUM!</v>
      </c>
      <c r="AG40" s="51" t="str">
        <f t="shared" si="55"/>
        <v>1-0.078206190545995i</v>
      </c>
      <c r="AH40" s="51">
        <f t="shared" si="75"/>
        <v>1.0030534423647208</v>
      </c>
      <c r="AI40" s="51">
        <f t="shared" si="76"/>
        <v>-7.8047331327071062E-2</v>
      </c>
      <c r="AJ40" s="51" t="str">
        <f t="shared" si="56"/>
        <v>1+0.000104274920727993i</v>
      </c>
      <c r="AK40" s="51">
        <f t="shared" si="77"/>
        <v>1.0000000054366296</v>
      </c>
      <c r="AL40" s="51">
        <f t="shared" si="78"/>
        <v>1.0427492035005693E-4</v>
      </c>
      <c r="AM40" s="51" t="e">
        <f t="shared" si="57"/>
        <v>#NUM!</v>
      </c>
      <c r="AN40" s="51" t="e">
        <f t="shared" si="79"/>
        <v>#NUM!</v>
      </c>
      <c r="AO40" s="51" t="e">
        <f t="shared" si="80"/>
        <v>#NUM!</v>
      </c>
      <c r="AP40" s="60" t="e">
        <f t="shared" si="81"/>
        <v>#NUM!</v>
      </c>
      <c r="AQ40" s="51" t="e">
        <f t="shared" si="82"/>
        <v>#NUM!</v>
      </c>
      <c r="AR40" s="63" t="e">
        <f t="shared" si="83"/>
        <v>#NUM!</v>
      </c>
      <c r="AS40" s="32" t="str">
        <f t="shared" si="58"/>
        <v>-0.000170731707317073</v>
      </c>
      <c r="AT40" s="32" t="str">
        <f t="shared" si="59"/>
        <v>3.96244698766373E-06i</v>
      </c>
      <c r="AU40" s="32">
        <f t="shared" si="84"/>
        <v>3.9624469876637298E-6</v>
      </c>
      <c r="AV40" s="32">
        <f t="shared" si="85"/>
        <v>1.5707963267948966</v>
      </c>
      <c r="AW40" s="32" t="str">
        <f t="shared" si="60"/>
        <v>1+0.000843638990226688i</v>
      </c>
      <c r="AX40" s="32">
        <f t="shared" si="86"/>
        <v>1.0000003558633095</v>
      </c>
      <c r="AY40" s="32">
        <f t="shared" si="87"/>
        <v>8.4363879007996246E-4</v>
      </c>
      <c r="AZ40" s="32" t="str">
        <f t="shared" si="61"/>
        <v>1+0.0160291408143071i</v>
      </c>
      <c r="BA40" s="32">
        <f t="shared" si="88"/>
        <v>1.0001284584268388</v>
      </c>
      <c r="BB40" s="32">
        <f t="shared" si="89"/>
        <v>1.6027768218923173E-2</v>
      </c>
      <c r="BC40" s="60" t="str">
        <f t="shared" si="90"/>
        <v>-0.654303973203627+43.0879946419134i</v>
      </c>
      <c r="BD40" s="51">
        <f t="shared" si="91"/>
        <v>32.688126979462375</v>
      </c>
      <c r="BE40" s="63">
        <f t="shared" si="92"/>
        <v>90.869986531853101</v>
      </c>
      <c r="BF40" s="60" t="str">
        <f t="shared" si="93"/>
        <v>40.9923795645287+1001.81845963144i</v>
      </c>
      <c r="BG40" s="66">
        <f t="shared" si="94"/>
        <v>60.023045822997581</v>
      </c>
      <c r="BH40" s="63">
        <f t="shared" si="95"/>
        <v>87.656880001431915</v>
      </c>
      <c r="BI40" s="60" t="e">
        <f t="shared" si="96"/>
        <v>#NUM!</v>
      </c>
      <c r="BJ40" s="66" t="e">
        <f t="shared" si="97"/>
        <v>#NUM!</v>
      </c>
      <c r="BK40" s="63" t="e">
        <f t="shared" si="98"/>
        <v>#NUM!</v>
      </c>
      <c r="BL40" s="51">
        <f t="shared" si="99"/>
        <v>60.023045822997581</v>
      </c>
      <c r="BM40" s="63">
        <f t="shared" si="100"/>
        <v>87.656880001431915</v>
      </c>
    </row>
    <row r="41" spans="1:65" x14ac:dyDescent="0.3">
      <c r="A41" t="s">
        <v>216</v>
      </c>
      <c r="B41" s="30">
        <f>1/(Cout*Resr)</f>
        <v>1000000</v>
      </c>
      <c r="C41" t="s">
        <v>213</v>
      </c>
      <c r="E41" t="s">
        <v>206</v>
      </c>
      <c r="N41" s="11">
        <v>23</v>
      </c>
      <c r="O41" s="52">
        <f t="shared" si="62"/>
        <v>16.982436524617448</v>
      </c>
      <c r="P41" s="50" t="str">
        <f t="shared" si="50"/>
        <v>23.3035714285714</v>
      </c>
      <c r="Q41" s="18" t="str">
        <f t="shared" si="51"/>
        <v>1+0.0571627476704924i</v>
      </c>
      <c r="R41" s="18">
        <f t="shared" si="63"/>
        <v>1.0016324574020354</v>
      </c>
      <c r="S41" s="18">
        <f t="shared" si="64"/>
        <v>5.7100608174161953E-2</v>
      </c>
      <c r="T41" s="18" t="str">
        <f t="shared" si="52"/>
        <v>1+0.000106703795651586i</v>
      </c>
      <c r="U41" s="18">
        <f t="shared" si="65"/>
        <v>1.00000000569285</v>
      </c>
      <c r="V41" s="18">
        <f t="shared" si="66"/>
        <v>1.0670379524662019E-4</v>
      </c>
      <c r="W41" s="32" t="str">
        <f t="shared" si="53"/>
        <v>1-0.000260831500481655i</v>
      </c>
      <c r="X41" s="18">
        <f t="shared" si="67"/>
        <v>1.0000000340165351</v>
      </c>
      <c r="Y41" s="18">
        <f t="shared" si="68"/>
        <v>-2.6083149456659915E-4</v>
      </c>
      <c r="Z41" s="32" t="str">
        <f t="shared" si="54"/>
        <v>0.999999998846387+0.000128015211238099i</v>
      </c>
      <c r="AA41" s="18">
        <f t="shared" si="69"/>
        <v>1.0000000070403341</v>
      </c>
      <c r="AB41" s="18">
        <f t="shared" si="70"/>
        <v>1.280152106864791E-4</v>
      </c>
      <c r="AC41" s="68" t="str">
        <f t="shared" si="71"/>
        <v>23.2272983717043-1.33431113347294i</v>
      </c>
      <c r="AD41" s="66">
        <f t="shared" si="72"/>
        <v>27.334282193296843</v>
      </c>
      <c r="AE41" s="63">
        <f t="shared" si="73"/>
        <v>-3.2877894539726071</v>
      </c>
      <c r="AF41" s="51" t="e">
        <f t="shared" si="74"/>
        <v>#NUM!</v>
      </c>
      <c r="AG41" s="51" t="str">
        <f t="shared" si="55"/>
        <v>1-0.0800278467386897i</v>
      </c>
      <c r="AH41" s="51">
        <f t="shared" si="75"/>
        <v>1.0031971173471499</v>
      </c>
      <c r="AI41" s="51">
        <f t="shared" si="76"/>
        <v>-7.9857655303892688E-2</v>
      </c>
      <c r="AJ41" s="51" t="str">
        <f t="shared" si="56"/>
        <v>1+0.000106703795651586i</v>
      </c>
      <c r="AK41" s="51">
        <f t="shared" si="77"/>
        <v>1.00000000569285</v>
      </c>
      <c r="AL41" s="51">
        <f t="shared" si="78"/>
        <v>1.0670379524662019E-4</v>
      </c>
      <c r="AM41" s="51" t="e">
        <f t="shared" si="57"/>
        <v>#NUM!</v>
      </c>
      <c r="AN41" s="51" t="e">
        <f t="shared" si="79"/>
        <v>#NUM!</v>
      </c>
      <c r="AO41" s="51" t="e">
        <f t="shared" si="80"/>
        <v>#NUM!</v>
      </c>
      <c r="AP41" s="60" t="e">
        <f t="shared" si="81"/>
        <v>#NUM!</v>
      </c>
      <c r="AQ41" s="51" t="e">
        <f t="shared" si="82"/>
        <v>#NUM!</v>
      </c>
      <c r="AR41" s="63" t="e">
        <f t="shared" si="83"/>
        <v>#NUM!</v>
      </c>
      <c r="AS41" s="32" t="str">
        <f t="shared" si="58"/>
        <v>-0.000170731707317073</v>
      </c>
      <c r="AT41" s="32" t="str">
        <f t="shared" si="59"/>
        <v>4.05474423476028E-06i</v>
      </c>
      <c r="AU41" s="32">
        <f t="shared" si="84"/>
        <v>4.0547442347602803E-6</v>
      </c>
      <c r="AV41" s="32">
        <f t="shared" si="85"/>
        <v>1.5707963267948966</v>
      </c>
      <c r="AW41" s="32" t="str">
        <f t="shared" si="60"/>
        <v>1+0.000863289866713778i</v>
      </c>
      <c r="AX41" s="32">
        <f t="shared" si="86"/>
        <v>1.0000003726346276</v>
      </c>
      <c r="AY41" s="32">
        <f t="shared" si="87"/>
        <v>8.6328965225270198E-4</v>
      </c>
      <c r="AZ41" s="32" t="str">
        <f t="shared" si="61"/>
        <v>1+0.0164025074675618i</v>
      </c>
      <c r="BA41" s="32">
        <f t="shared" si="88"/>
        <v>1.0001345120788621</v>
      </c>
      <c r="BB41" s="32">
        <f t="shared" si="89"/>
        <v>1.640103671579286E-2</v>
      </c>
      <c r="BC41" s="60" t="str">
        <f t="shared" si="90"/>
        <v>-0.654303951256553+42.1072175630207i</v>
      </c>
      <c r="BD41" s="51">
        <f t="shared" si="91"/>
        <v>32.488179408229229</v>
      </c>
      <c r="BE41" s="63">
        <f t="shared" si="92"/>
        <v>90.890247329882627</v>
      </c>
      <c r="BF41" s="60" t="str">
        <f t="shared" si="93"/>
        <v>40.9864160922848+978.909950985386i</v>
      </c>
      <c r="BG41" s="66">
        <f t="shared" si="94"/>
        <v>59.822461601526065</v>
      </c>
      <c r="BH41" s="63">
        <f t="shared" si="95"/>
        <v>87.602457875910034</v>
      </c>
      <c r="BI41" s="60" t="e">
        <f t="shared" si="96"/>
        <v>#NUM!</v>
      </c>
      <c r="BJ41" s="66" t="e">
        <f t="shared" si="97"/>
        <v>#NUM!</v>
      </c>
      <c r="BK41" s="63" t="e">
        <f t="shared" si="98"/>
        <v>#NUM!</v>
      </c>
      <c r="BL41" s="51">
        <f t="shared" si="99"/>
        <v>59.822461601526065</v>
      </c>
      <c r="BM41" s="63">
        <f t="shared" si="100"/>
        <v>87.602457875910034</v>
      </c>
    </row>
    <row r="42" spans="1:65" s="32" customFormat="1" x14ac:dyDescent="0.3">
      <c r="B42" s="30"/>
      <c r="K42"/>
      <c r="N42" s="11">
        <v>24</v>
      </c>
      <c r="O42" s="52">
        <f t="shared" si="62"/>
        <v>17.378008287493756</v>
      </c>
      <c r="P42" s="50" t="str">
        <f t="shared" si="50"/>
        <v>23.3035714285714</v>
      </c>
      <c r="Q42" s="18" t="str">
        <f t="shared" si="51"/>
        <v>1+0.0584942391107281i</v>
      </c>
      <c r="R42" s="18">
        <f t="shared" si="63"/>
        <v>1.0017093271049955</v>
      </c>
      <c r="S42" s="18">
        <f t="shared" si="64"/>
        <v>5.8427661575694227E-2</v>
      </c>
      <c r="T42" s="18" t="str">
        <f t="shared" si="52"/>
        <v>1+0.000109189246340026i</v>
      </c>
      <c r="U42" s="18">
        <f t="shared" si="65"/>
        <v>1.0000000059611458</v>
      </c>
      <c r="V42" s="18">
        <f t="shared" si="66"/>
        <v>1.0918924590609732E-4</v>
      </c>
      <c r="W42" s="32" t="str">
        <f t="shared" si="53"/>
        <v>1-0.000266907046608953i</v>
      </c>
      <c r="X42" s="18">
        <f t="shared" si="67"/>
        <v>1.0000000356196852</v>
      </c>
      <c r="Y42" s="18">
        <f t="shared" si="68"/>
        <v>-2.6690704027085651E-4</v>
      </c>
      <c r="Z42" s="32" t="str">
        <f t="shared" si="54"/>
        <v>0.999999998792019+0.000130997068565288i</v>
      </c>
      <c r="AA42" s="18">
        <f t="shared" si="69"/>
        <v>1.0000000073721349</v>
      </c>
      <c r="AB42" s="18">
        <f t="shared" si="70"/>
        <v>1.3099706797421661E-4</v>
      </c>
      <c r="AC42" s="68" t="str">
        <f t="shared" si="71"/>
        <v>23.2237159906678-1.36518168375145i</v>
      </c>
      <c r="AD42" s="66">
        <f t="shared" si="72"/>
        <v>27.333615638676573</v>
      </c>
      <c r="AE42" s="63">
        <f t="shared" si="73"/>
        <v>-3.3642005582006775</v>
      </c>
      <c r="AF42" s="51" t="e">
        <f t="shared" si="74"/>
        <v>#NUM!</v>
      </c>
      <c r="AG42" s="51" t="str">
        <f t="shared" si="55"/>
        <v>1-0.0818919347550197i</v>
      </c>
      <c r="AH42" s="51">
        <f t="shared" si="75"/>
        <v>1.0033475414720068</v>
      </c>
      <c r="AI42" s="51">
        <f t="shared" si="76"/>
        <v>-8.1709604191698912E-2</v>
      </c>
      <c r="AJ42" s="51" t="str">
        <f t="shared" si="56"/>
        <v>1+0.000109189246340026i</v>
      </c>
      <c r="AK42" s="51">
        <f t="shared" si="77"/>
        <v>1.0000000059611458</v>
      </c>
      <c r="AL42" s="51">
        <f t="shared" si="78"/>
        <v>1.0918924590609732E-4</v>
      </c>
      <c r="AM42" s="51" t="e">
        <f t="shared" si="57"/>
        <v>#NUM!</v>
      </c>
      <c r="AN42" s="51" t="e">
        <f t="shared" si="79"/>
        <v>#NUM!</v>
      </c>
      <c r="AO42" s="51" t="e">
        <f t="shared" si="80"/>
        <v>#NUM!</v>
      </c>
      <c r="AP42" s="60" t="e">
        <f t="shared" si="81"/>
        <v>#NUM!</v>
      </c>
      <c r="AQ42" s="51" t="e">
        <f t="shared" si="82"/>
        <v>#NUM!</v>
      </c>
      <c r="AR42" s="63" t="e">
        <f t="shared" si="83"/>
        <v>#NUM!</v>
      </c>
      <c r="AS42" s="32" t="str">
        <f t="shared" si="58"/>
        <v>-0.000170731707317073</v>
      </c>
      <c r="AT42" s="32" t="str">
        <f t="shared" si="59"/>
        <v>4.14919136092098E-06i</v>
      </c>
      <c r="AU42" s="32">
        <f t="shared" si="84"/>
        <v>4.1491913609209798E-6</v>
      </c>
      <c r="AV42" s="32">
        <f t="shared" si="85"/>
        <v>1.5707963267948966</v>
      </c>
      <c r="AW42" s="32" t="str">
        <f t="shared" si="60"/>
        <v>1+0.000883398470915199i</v>
      </c>
      <c r="AX42" s="32">
        <f t="shared" si="86"/>
        <v>1.000000390196353</v>
      </c>
      <c r="AY42" s="32">
        <f t="shared" si="87"/>
        <v>8.8339824111602057E-4</v>
      </c>
      <c r="AZ42" s="32" t="str">
        <f t="shared" si="61"/>
        <v>1+0.0167845709473888i</v>
      </c>
      <c r="BA42" s="32">
        <f t="shared" si="88"/>
        <v>1.0001408509914431</v>
      </c>
      <c r="BB42" s="32">
        <f t="shared" si="89"/>
        <v>1.6782995020461728E-2</v>
      </c>
      <c r="BC42" s="60" t="str">
        <f t="shared" si="90"/>
        <v>-0.654303928275151+41.148766288233i</v>
      </c>
      <c r="BD42" s="51">
        <f t="shared" si="91"/>
        <v>32.288234307205592</v>
      </c>
      <c r="BE42" s="63">
        <f t="shared" si="92"/>
        <v>90.910979791416295</v>
      </c>
      <c r="BF42" s="60" t="str">
        <f t="shared" si="93"/>
        <v>40.9801734438245+956.520505382777i</v>
      </c>
      <c r="BG42" s="66">
        <f t="shared" si="94"/>
        <v>59.621849945882168</v>
      </c>
      <c r="BH42" s="63">
        <f t="shared" si="95"/>
        <v>87.546779233215631</v>
      </c>
      <c r="BI42" s="60" t="e">
        <f t="shared" si="96"/>
        <v>#NUM!</v>
      </c>
      <c r="BJ42" s="66" t="e">
        <f t="shared" si="97"/>
        <v>#NUM!</v>
      </c>
      <c r="BK42" s="63" t="e">
        <f t="shared" si="98"/>
        <v>#NUM!</v>
      </c>
      <c r="BL42" s="51">
        <f t="shared" si="99"/>
        <v>59.621849945882168</v>
      </c>
      <c r="BM42" s="63">
        <f t="shared" si="100"/>
        <v>87.546779233215631</v>
      </c>
    </row>
    <row r="43" spans="1:65" s="32" customFormat="1" x14ac:dyDescent="0.3">
      <c r="A43"/>
      <c r="B43" s="1"/>
      <c r="C43"/>
      <c r="D43"/>
      <c r="E43"/>
      <c r="F43"/>
      <c r="G43"/>
      <c r="N43" s="11">
        <v>25</v>
      </c>
      <c r="O43" s="52">
        <f t="shared" si="62"/>
        <v>17.782794100389236</v>
      </c>
      <c r="P43" s="50" t="str">
        <f t="shared" si="50"/>
        <v>23.3035714285714</v>
      </c>
      <c r="Q43" s="18" t="str">
        <f t="shared" si="51"/>
        <v>1+0.0598567449708026i</v>
      </c>
      <c r="R43" s="18">
        <f t="shared" si="63"/>
        <v>1.0017898132435266</v>
      </c>
      <c r="S43" s="18">
        <f t="shared" si="64"/>
        <v>5.9785412738646813E-2</v>
      </c>
      <c r="T43" s="18" t="str">
        <f t="shared" si="52"/>
        <v>1+0.000111732590612165i</v>
      </c>
      <c r="U43" s="18">
        <f t="shared" si="65"/>
        <v>1.0000000062420857</v>
      </c>
      <c r="V43" s="18">
        <f t="shared" si="66"/>
        <v>1.1173259014720206E-4</v>
      </c>
      <c r="W43" s="32" t="str">
        <f t="shared" si="53"/>
        <v>1-0.000273124110385292i</v>
      </c>
      <c r="X43" s="18">
        <f t="shared" si="67"/>
        <v>1.000000037298389</v>
      </c>
      <c r="Y43" s="18">
        <f t="shared" si="68"/>
        <v>-2.7312410359389932E-4</v>
      </c>
      <c r="Z43" s="32" t="str">
        <f t="shared" si="54"/>
        <v>0.999999998735089+0.00013404838227218i</v>
      </c>
      <c r="AA43" s="18">
        <f t="shared" si="69"/>
        <v>1.0000000077195732</v>
      </c>
      <c r="AB43" s="18">
        <f t="shared" si="70"/>
        <v>1.3404838163883555E-4</v>
      </c>
      <c r="AC43" s="68" t="str">
        <f t="shared" si="71"/>
        <v>23.2199659555634-1.39675638527731i</v>
      </c>
      <c r="AD43" s="66">
        <f t="shared" si="72"/>
        <v>27.332917779940281</v>
      </c>
      <c r="AE43" s="63">
        <f t="shared" si="73"/>
        <v>-3.442379285460305</v>
      </c>
      <c r="AF43" s="51" t="e">
        <f t="shared" si="74"/>
        <v>#NUM!</v>
      </c>
      <c r="AG43" s="51" t="str">
        <f t="shared" si="55"/>
        <v>1-0.0837994429591239i</v>
      </c>
      <c r="AH43" s="51">
        <f t="shared" si="75"/>
        <v>1.0035050307000257</v>
      </c>
      <c r="AI43" s="51">
        <f t="shared" si="76"/>
        <v>-8.3604109076731534E-2</v>
      </c>
      <c r="AJ43" s="51" t="str">
        <f t="shared" si="56"/>
        <v>1+0.000111732590612165i</v>
      </c>
      <c r="AK43" s="51">
        <f t="shared" si="77"/>
        <v>1.0000000062420857</v>
      </c>
      <c r="AL43" s="51">
        <f t="shared" si="78"/>
        <v>1.1173259014720206E-4</v>
      </c>
      <c r="AM43" s="51" t="e">
        <f t="shared" si="57"/>
        <v>#NUM!</v>
      </c>
      <c r="AN43" s="51" t="e">
        <f t="shared" si="79"/>
        <v>#NUM!</v>
      </c>
      <c r="AO43" s="51" t="e">
        <f t="shared" si="80"/>
        <v>#NUM!</v>
      </c>
      <c r="AP43" s="60" t="e">
        <f t="shared" si="81"/>
        <v>#NUM!</v>
      </c>
      <c r="AQ43" s="51" t="e">
        <f t="shared" si="82"/>
        <v>#NUM!</v>
      </c>
      <c r="AR43" s="63" t="e">
        <f t="shared" si="83"/>
        <v>#NUM!</v>
      </c>
      <c r="AS43" s="32" t="str">
        <f t="shared" si="58"/>
        <v>-0.000170731707317073</v>
      </c>
      <c r="AT43" s="32" t="str">
        <f t="shared" si="59"/>
        <v>4.24583844326229E-06i</v>
      </c>
      <c r="AU43" s="32">
        <f t="shared" si="84"/>
        <v>4.2458384432622904E-6</v>
      </c>
      <c r="AV43" s="32">
        <f t="shared" si="85"/>
        <v>1.5707963267948966</v>
      </c>
      <c r="AW43" s="32" t="str">
        <f t="shared" si="60"/>
        <v>1+0.000903975464679052i</v>
      </c>
      <c r="AX43" s="32">
        <f t="shared" si="86"/>
        <v>1.000000408585737</v>
      </c>
      <c r="AY43" s="32">
        <f t="shared" si="87"/>
        <v>9.0397521844480153E-4</v>
      </c>
      <c r="AZ43" s="32" t="str">
        <f t="shared" si="61"/>
        <v>1+0.017175533828902i</v>
      </c>
      <c r="BA43" s="32">
        <f t="shared" si="88"/>
        <v>1.0001474886047097</v>
      </c>
      <c r="BB43" s="32">
        <f t="shared" si="89"/>
        <v>1.7173845206224884E-2</v>
      </c>
      <c r="BC43" s="60" t="str">
        <f t="shared" si="90"/>
        <v>-0.654303904210666+40.2121326339979i</v>
      </c>
      <c r="BD43" s="51">
        <f t="shared" si="91"/>
        <v>32.088291792743114</v>
      </c>
      <c r="BE43" s="63">
        <f t="shared" si="92"/>
        <v>90.93219488352635</v>
      </c>
      <c r="BF43" s="60" t="str">
        <f t="shared" si="93"/>
        <v>40.9736386417908+934.638253918149i</v>
      </c>
      <c r="BG43" s="66">
        <f t="shared" si="94"/>
        <v>59.421209572683381</v>
      </c>
      <c r="BH43" s="63">
        <f t="shared" si="95"/>
        <v>87.489815598066059</v>
      </c>
      <c r="BI43" s="60" t="e">
        <f t="shared" si="96"/>
        <v>#NUM!</v>
      </c>
      <c r="BJ43" s="66" t="e">
        <f t="shared" si="97"/>
        <v>#NUM!</v>
      </c>
      <c r="BK43" s="63" t="e">
        <f t="shared" si="98"/>
        <v>#NUM!</v>
      </c>
      <c r="BL43" s="51">
        <f t="shared" si="99"/>
        <v>59.421209572683381</v>
      </c>
      <c r="BM43" s="63">
        <f t="shared" si="100"/>
        <v>87.489815598066059</v>
      </c>
    </row>
    <row r="44" spans="1:65" s="32" customFormat="1" x14ac:dyDescent="0.3">
      <c r="A44" s="32" t="s">
        <v>209</v>
      </c>
      <c r="B44" s="1">
        <f>(Isl*(Rsl_int+R_sl)*Fsw)</f>
        <v>39990</v>
      </c>
      <c r="C44" s="32" t="s">
        <v>147</v>
      </c>
      <c r="E44" s="32" t="s">
        <v>210</v>
      </c>
      <c r="N44" s="11">
        <v>26</v>
      </c>
      <c r="O44" s="52">
        <f t="shared" si="62"/>
        <v>18.197008586099841</v>
      </c>
      <c r="P44" s="50" t="str">
        <f t="shared" si="50"/>
        <v>23.3035714285714</v>
      </c>
      <c r="Q44" s="18" t="str">
        <f t="shared" si="51"/>
        <v>1+0.0612509876693586i</v>
      </c>
      <c r="R44" s="18">
        <f t="shared" si="63"/>
        <v>1.0018740856467303</v>
      </c>
      <c r="S44" s="18">
        <f t="shared" si="64"/>
        <v>6.1174561525353763E-2</v>
      </c>
      <c r="T44" s="18" t="str">
        <f t="shared" si="52"/>
        <v>1+0.000114335176982803i</v>
      </c>
      <c r="U44" s="18">
        <f t="shared" si="65"/>
        <v>1.0000000065362662</v>
      </c>
      <c r="V44" s="18">
        <f t="shared" si="66"/>
        <v>1.1433517648458623E-4</v>
      </c>
      <c r="W44" s="32" t="str">
        <f t="shared" si="53"/>
        <v>1-0.000279485988180185i</v>
      </c>
      <c r="X44" s="18">
        <f t="shared" si="67"/>
        <v>1.000000039056208</v>
      </c>
      <c r="Y44" s="18">
        <f t="shared" si="68"/>
        <v>-2.7948598090307659E-4</v>
      </c>
      <c r="Z44" s="32" t="str">
        <f t="shared" si="54"/>
        <v>0.999999998675476+0.000137170770205693i</v>
      </c>
      <c r="AA44" s="18">
        <f t="shared" si="69"/>
        <v>1.000000008083386</v>
      </c>
      <c r="AB44" s="18">
        <f t="shared" si="70"/>
        <v>1.3717076952705215E-4</v>
      </c>
      <c r="AC44" s="68" t="str">
        <f t="shared" si="71"/>
        <v>23.2160404781603-1.4290505816089i</v>
      </c>
      <c r="AD44" s="66">
        <f t="shared" si="72"/>
        <v>27.332187152309263</v>
      </c>
      <c r="AE44" s="63">
        <f t="shared" si="73"/>
        <v>-3.5223659392089828</v>
      </c>
      <c r="AF44" s="51" t="e">
        <f t="shared" si="74"/>
        <v>#NUM!</v>
      </c>
      <c r="AG44" s="51" t="str">
        <f t="shared" si="55"/>
        <v>1-0.0857513827371025i</v>
      </c>
      <c r="AH44" s="51">
        <f t="shared" si="75"/>
        <v>1.003669915680113</v>
      </c>
      <c r="AI44" s="51">
        <f t="shared" si="76"/>
        <v>-8.5542120023005708E-2</v>
      </c>
      <c r="AJ44" s="51" t="str">
        <f t="shared" si="56"/>
        <v>1+0.000114335176982803i</v>
      </c>
      <c r="AK44" s="51">
        <f t="shared" si="77"/>
        <v>1.0000000065362662</v>
      </c>
      <c r="AL44" s="51">
        <f t="shared" si="78"/>
        <v>1.1433517648458623E-4</v>
      </c>
      <c r="AM44" s="51" t="e">
        <f t="shared" si="57"/>
        <v>#NUM!</v>
      </c>
      <c r="AN44" s="51" t="e">
        <f t="shared" si="79"/>
        <v>#NUM!</v>
      </c>
      <c r="AO44" s="51" t="e">
        <f t="shared" si="80"/>
        <v>#NUM!</v>
      </c>
      <c r="AP44" s="60" t="e">
        <f t="shared" si="81"/>
        <v>#NUM!</v>
      </c>
      <c r="AQ44" s="51" t="e">
        <f t="shared" si="82"/>
        <v>#NUM!</v>
      </c>
      <c r="AR44" s="63" t="e">
        <f t="shared" si="83"/>
        <v>#NUM!</v>
      </c>
      <c r="AS44" s="32" t="str">
        <f t="shared" si="58"/>
        <v>-0.000170731707317073</v>
      </c>
      <c r="AT44" s="32" t="str">
        <f t="shared" si="59"/>
        <v>4.34473672534653E-06i</v>
      </c>
      <c r="AU44" s="32">
        <f t="shared" si="84"/>
        <v>4.3447367253465299E-6</v>
      </c>
      <c r="AV44" s="32">
        <f t="shared" si="85"/>
        <v>1.5707963267948966</v>
      </c>
      <c r="AW44" s="32" t="str">
        <f t="shared" si="60"/>
        <v>1+0.000925031758199813i</v>
      </c>
      <c r="AX44" s="32">
        <f t="shared" si="86"/>
        <v>1.0000004278417853</v>
      </c>
      <c r="AY44" s="32">
        <f t="shared" si="87"/>
        <v>9.2503149435506609E-4</v>
      </c>
      <c r="AZ44" s="32" t="str">
        <f t="shared" si="61"/>
        <v>1+0.0175756034057965i</v>
      </c>
      <c r="BA44" s="32">
        <f t="shared" si="88"/>
        <v>1.0001544389918378</v>
      </c>
      <c r="BB44" s="32">
        <f t="shared" si="89"/>
        <v>1.7573794029088315E-2</v>
      </c>
      <c r="BC44" s="60" t="str">
        <f t="shared" si="90"/>
        <v>-0.654303879012063+39.2968199847535i</v>
      </c>
      <c r="BD44" s="51">
        <f t="shared" si="91"/>
        <v>31.888351986670411</v>
      </c>
      <c r="BE44" s="63">
        <f t="shared" si="92"/>
        <v>90.953903827355731</v>
      </c>
      <c r="BF44" s="60" t="str">
        <f t="shared" si="93"/>
        <v>40.9667981144309+913.251596767867i</v>
      </c>
      <c r="BG44" s="66">
        <f t="shared" si="94"/>
        <v>59.220539138979674</v>
      </c>
      <c r="BH44" s="63">
        <f t="shared" si="95"/>
        <v>87.431537888146764</v>
      </c>
      <c r="BI44" s="60" t="e">
        <f t="shared" si="96"/>
        <v>#NUM!</v>
      </c>
      <c r="BJ44" s="66" t="e">
        <f t="shared" si="97"/>
        <v>#NUM!</v>
      </c>
      <c r="BK44" s="63" t="e">
        <f t="shared" si="98"/>
        <v>#NUM!</v>
      </c>
      <c r="BL44" s="51">
        <f t="shared" si="99"/>
        <v>59.220539138979674</v>
      </c>
      <c r="BM44" s="63">
        <f t="shared" si="100"/>
        <v>87.431537888146764</v>
      </c>
    </row>
    <row r="45" spans="1:65" x14ac:dyDescent="0.3">
      <c r="A45" s="32" t="s">
        <v>212</v>
      </c>
      <c r="B45" s="1">
        <f>(R_cs*VIN_var*Acs)/Lm</f>
        <v>21818.181818181823</v>
      </c>
      <c r="C45" s="32" t="s">
        <v>147</v>
      </c>
      <c r="D45" s="32"/>
      <c r="E45" s="32" t="s">
        <v>211</v>
      </c>
      <c r="F45" s="32"/>
      <c r="G45" s="32"/>
      <c r="N45" s="11">
        <v>27</v>
      </c>
      <c r="O45" s="52">
        <f t="shared" si="62"/>
        <v>18.62087136662868</v>
      </c>
      <c r="P45" s="50" t="str">
        <f t="shared" si="50"/>
        <v>23.3035714285714</v>
      </c>
      <c r="Q45" s="18" t="str">
        <f t="shared" si="51"/>
        <v>1+0.0626777064523295i</v>
      </c>
      <c r="R45" s="18">
        <f t="shared" si="63"/>
        <v>1.0019623220890717</v>
      </c>
      <c r="S45" s="18">
        <f t="shared" si="64"/>
        <v>6.2595823023270533E-2</v>
      </c>
      <c r="T45" s="18" t="str">
        <f t="shared" si="52"/>
        <v>1+0.000116998385377682i</v>
      </c>
      <c r="U45" s="18">
        <f t="shared" si="65"/>
        <v>1.0000000068443111</v>
      </c>
      <c r="V45" s="18">
        <f t="shared" si="66"/>
        <v>1.169983848438331E-4</v>
      </c>
      <c r="W45" s="32" t="str">
        <f t="shared" si="53"/>
        <v>1-0.000285996053145445i</v>
      </c>
      <c r="X45" s="18">
        <f t="shared" si="67"/>
        <v>1.0000000408968703</v>
      </c>
      <c r="Y45" s="18">
        <f t="shared" si="68"/>
        <v>-2.859960453478829E-4</v>
      </c>
      <c r="Z45" s="32" t="str">
        <f t="shared" si="54"/>
        <v>0.999999998613053+0.000140365887897239i</v>
      </c>
      <c r="AA45" s="18">
        <f t="shared" si="69"/>
        <v>1.0000000084643441</v>
      </c>
      <c r="AB45" s="18">
        <f t="shared" si="70"/>
        <v>1.4036588717006223E-4</v>
      </c>
      <c r="AC45" s="68" t="str">
        <f t="shared" si="71"/>
        <v>23.2119314139955-1.4620798990568i</v>
      </c>
      <c r="AD45" s="66">
        <f t="shared" si="72"/>
        <v>27.331422222982845</v>
      </c>
      <c r="AE45" s="63">
        <f t="shared" si="73"/>
        <v>-3.6042016999981552</v>
      </c>
      <c r="AF45" s="51" t="e">
        <f t="shared" si="74"/>
        <v>#NUM!</v>
      </c>
      <c r="AG45" s="51" t="str">
        <f t="shared" si="55"/>
        <v>1-0.0877487890332617i</v>
      </c>
      <c r="AH45" s="51">
        <f t="shared" si="75"/>
        <v>1.0038425424222686</v>
      </c>
      <c r="AI45" s="51">
        <f t="shared" si="76"/>
        <v>-8.7524606325624935E-2</v>
      </c>
      <c r="AJ45" s="51" t="str">
        <f t="shared" si="56"/>
        <v>1+0.000116998385377682i</v>
      </c>
      <c r="AK45" s="51">
        <f t="shared" si="77"/>
        <v>1.0000000068443111</v>
      </c>
      <c r="AL45" s="51">
        <f t="shared" si="78"/>
        <v>1.169983848438331E-4</v>
      </c>
      <c r="AM45" s="51" t="e">
        <f t="shared" si="57"/>
        <v>#NUM!</v>
      </c>
      <c r="AN45" s="51" t="e">
        <f t="shared" si="79"/>
        <v>#NUM!</v>
      </c>
      <c r="AO45" s="51" t="e">
        <f t="shared" si="80"/>
        <v>#NUM!</v>
      </c>
      <c r="AP45" s="60" t="e">
        <f t="shared" si="81"/>
        <v>#NUM!</v>
      </c>
      <c r="AQ45" s="51" t="e">
        <f t="shared" si="82"/>
        <v>#NUM!</v>
      </c>
      <c r="AR45" s="63" t="e">
        <f t="shared" si="83"/>
        <v>#NUM!</v>
      </c>
      <c r="AS45" s="32" t="str">
        <f t="shared" si="58"/>
        <v>-0.000170731707317073</v>
      </c>
      <c r="AT45" s="32" t="str">
        <f t="shared" si="59"/>
        <v>4.44593864435193E-06i</v>
      </c>
      <c r="AU45" s="32">
        <f t="shared" si="84"/>
        <v>4.4459386443519304E-6</v>
      </c>
      <c r="AV45" s="32">
        <f t="shared" si="85"/>
        <v>1.5707963267948966</v>
      </c>
      <c r="AW45" s="32" t="str">
        <f t="shared" si="60"/>
        <v>1+0.000946578515803013i</v>
      </c>
      <c r="AX45" s="32">
        <f t="shared" si="86"/>
        <v>1.000000448005343</v>
      </c>
      <c r="AY45" s="32">
        <f t="shared" si="87"/>
        <v>9.4657823308828002E-4</v>
      </c>
      <c r="AZ45" s="32" t="str">
        <f t="shared" si="61"/>
        <v>1+0.0179849918002573i</v>
      </c>
      <c r="BA45" s="32">
        <f t="shared" si="88"/>
        <v>1.0001617168888515</v>
      </c>
      <c r="BB45" s="32">
        <f t="shared" si="89"/>
        <v>1.7983053035114511E-2</v>
      </c>
      <c r="BC45" s="60" t="str">
        <f t="shared" si="90"/>
        <v>-0.654303852625887+38.402343029618i</v>
      </c>
      <c r="BD45" s="51">
        <f t="shared" si="91"/>
        <v>31.688415016551016</v>
      </c>
      <c r="BE45" s="63">
        <f t="shared" si="92"/>
        <v>90.976118103937068</v>
      </c>
      <c r="BF45" s="60" t="str">
        <f t="shared" si="93"/>
        <v>40.9596376692234+892.349197051021i</v>
      </c>
      <c r="BG45" s="66">
        <f t="shared" si="94"/>
        <v>59.019837239533857</v>
      </c>
      <c r="BH45" s="63">
        <f t="shared" si="95"/>
        <v>87.371916403938926</v>
      </c>
      <c r="BI45" s="60" t="e">
        <f t="shared" si="96"/>
        <v>#NUM!</v>
      </c>
      <c r="BJ45" s="66" t="e">
        <f t="shared" si="97"/>
        <v>#NUM!</v>
      </c>
      <c r="BK45" s="63" t="e">
        <f t="shared" si="98"/>
        <v>#NUM!</v>
      </c>
      <c r="BL45" s="51">
        <f t="shared" si="99"/>
        <v>59.019837239533857</v>
      </c>
      <c r="BM45" s="63">
        <f t="shared" si="100"/>
        <v>87.371916403938926</v>
      </c>
    </row>
    <row r="46" spans="1:65" x14ac:dyDescent="0.3">
      <c r="B46" s="1"/>
      <c r="K46" s="32"/>
      <c r="N46" s="11">
        <v>28</v>
      </c>
      <c r="O46" s="52">
        <f t="shared" si="62"/>
        <v>19.054607179632477</v>
      </c>
      <c r="P46" s="50" t="str">
        <f t="shared" si="50"/>
        <v>23.3035714285714</v>
      </c>
      <c r="Q46" s="18" t="str">
        <f t="shared" si="51"/>
        <v>1+0.064137657784899i</v>
      </c>
      <c r="R46" s="18">
        <f t="shared" si="63"/>
        <v>1.0020547086592293</v>
      </c>
      <c r="S46" s="18">
        <f t="shared" si="64"/>
        <v>6.4049927823686695E-2</v>
      </c>
      <c r="T46" s="18" t="str">
        <f t="shared" si="52"/>
        <v>1+0.000119723627865145i</v>
      </c>
      <c r="U46" s="18">
        <f t="shared" si="65"/>
        <v>1.0000000071668735</v>
      </c>
      <c r="V46" s="18">
        <f t="shared" si="66"/>
        <v>1.1972362729311561E-4</v>
      </c>
      <c r="W46" s="32" t="str">
        <f t="shared" si="53"/>
        <v>1-0.000292657757003688i</v>
      </c>
      <c r="X46" s="18">
        <f t="shared" si="67"/>
        <v>1.0000000428242803</v>
      </c>
      <c r="Y46" s="18">
        <f t="shared" si="68"/>
        <v>-2.926577486484497E-4</v>
      </c>
      <c r="Z46" s="32" t="str">
        <f t="shared" si="54"/>
        <v>0.999999998547688+0.000143635429440511i</v>
      </c>
      <c r="AA46" s="18">
        <f t="shared" si="69"/>
        <v>1.0000000088632561</v>
      </c>
      <c r="AB46" s="18">
        <f t="shared" si="70"/>
        <v>1.4363542866132706E-4</v>
      </c>
      <c r="AC46" s="68" t="str">
        <f t="shared" si="71"/>
        <v>23.2076302466158-1.49586024805703i</v>
      </c>
      <c r="AD46" s="66">
        <f t="shared" si="72"/>
        <v>27.330621388029584</v>
      </c>
      <c r="AE46" s="63">
        <f t="shared" si="73"/>
        <v>-3.687928641553103</v>
      </c>
      <c r="AF46" s="51" t="e">
        <f t="shared" si="74"/>
        <v>#NUM!</v>
      </c>
      <c r="AG46" s="51" t="str">
        <f t="shared" si="55"/>
        <v>1-0.089792720898859i</v>
      </c>
      <c r="AH46" s="51">
        <f t="shared" si="75"/>
        <v>1.0040232730003924</v>
      </c>
      <c r="AI46" s="51">
        <f t="shared" si="76"/>
        <v>-8.9552556757118901E-2</v>
      </c>
      <c r="AJ46" s="51" t="str">
        <f t="shared" si="56"/>
        <v>1+0.000119723627865145i</v>
      </c>
      <c r="AK46" s="51">
        <f t="shared" si="77"/>
        <v>1.0000000071668735</v>
      </c>
      <c r="AL46" s="51">
        <f t="shared" si="78"/>
        <v>1.1972362729311561E-4</v>
      </c>
      <c r="AM46" s="51" t="e">
        <f t="shared" si="57"/>
        <v>#NUM!</v>
      </c>
      <c r="AN46" s="51" t="e">
        <f t="shared" si="79"/>
        <v>#NUM!</v>
      </c>
      <c r="AO46" s="51" t="e">
        <f t="shared" si="80"/>
        <v>#NUM!</v>
      </c>
      <c r="AP46" s="60" t="e">
        <f t="shared" si="81"/>
        <v>#NUM!</v>
      </c>
      <c r="AQ46" s="51" t="e">
        <f t="shared" si="82"/>
        <v>#NUM!</v>
      </c>
      <c r="AR46" s="63" t="e">
        <f t="shared" si="83"/>
        <v>#NUM!</v>
      </c>
      <c r="AS46" s="32" t="str">
        <f t="shared" si="58"/>
        <v>-0.000170731707317073</v>
      </c>
      <c r="AT46" s="32" t="str">
        <f t="shared" si="59"/>
        <v>4.54949785887553E-06i</v>
      </c>
      <c r="AU46" s="32">
        <f t="shared" si="84"/>
        <v>4.5494978588755304E-6</v>
      </c>
      <c r="AV46" s="32">
        <f t="shared" si="85"/>
        <v>1.5707963267948966</v>
      </c>
      <c r="AW46" s="32" t="str">
        <f t="shared" si="60"/>
        <v>1+0.00096862716186474i</v>
      </c>
      <c r="AX46" s="32">
        <f t="shared" si="86"/>
        <v>1.0000004691191793</v>
      </c>
      <c r="AY46" s="32">
        <f t="shared" si="87"/>
        <v>9.6862685893045334E-4</v>
      </c>
      <c r="AZ46" s="32" t="str">
        <f t="shared" si="61"/>
        <v>1+0.0184039160754301i</v>
      </c>
      <c r="BA46" s="32">
        <f t="shared" si="88"/>
        <v>1.0001693377258229</v>
      </c>
      <c r="BB46" s="32">
        <f t="shared" si="89"/>
        <v>1.8401838670147178E-2</v>
      </c>
      <c r="BC46" s="60" t="str">
        <f t="shared" si="90"/>
        <v>-0.65430382499617+37.5282275050695i</v>
      </c>
      <c r="BD46" s="51">
        <f t="shared" si="91"/>
        <v>31.488481015952484</v>
      </c>
      <c r="BE46" s="63">
        <f t="shared" si="92"/>
        <v>90.998849460140335</v>
      </c>
      <c r="BF46" s="60" t="str">
        <f t="shared" si="93"/>
        <v>40.9521424654164+871.919974830493i</v>
      </c>
      <c r="BG46" s="66">
        <f t="shared" si="94"/>
        <v>58.819102403982065</v>
      </c>
      <c r="BH46" s="63">
        <f t="shared" si="95"/>
        <v>87.310920818587235</v>
      </c>
      <c r="BI46" s="60" t="e">
        <f t="shared" si="96"/>
        <v>#NUM!</v>
      </c>
      <c r="BJ46" s="66" t="e">
        <f t="shared" si="97"/>
        <v>#NUM!</v>
      </c>
      <c r="BK46" s="63" t="e">
        <f t="shared" si="98"/>
        <v>#NUM!</v>
      </c>
      <c r="BL46" s="51">
        <f t="shared" si="99"/>
        <v>58.819102403982065</v>
      </c>
      <c r="BM46" s="63">
        <f t="shared" si="100"/>
        <v>87.310920818587235</v>
      </c>
    </row>
    <row r="47" spans="1:65" x14ac:dyDescent="0.3">
      <c r="A47" t="s">
        <v>207</v>
      </c>
      <c r="B47" s="1">
        <f>2*PI()*Fsw</f>
        <v>6283185.307179586</v>
      </c>
      <c r="C47" t="s">
        <v>213</v>
      </c>
      <c r="N47" s="11">
        <v>29</v>
      </c>
      <c r="O47" s="52">
        <f t="shared" si="62"/>
        <v>19.498445997580465</v>
      </c>
      <c r="P47" s="50" t="str">
        <f t="shared" si="50"/>
        <v>23.3035714285714</v>
      </c>
      <c r="Q47" s="18" t="str">
        <f t="shared" si="51"/>
        <v>1+0.0656316157525885i</v>
      </c>
      <c r="R47" s="18">
        <f t="shared" si="63"/>
        <v>1.0021514401457972</v>
      </c>
      <c r="S47" s="18">
        <f t="shared" si="64"/>
        <v>6.5537622301629211E-2</v>
      </c>
      <c r="T47" s="18" t="str">
        <f t="shared" si="52"/>
        <v>1+0.000122512349404832i</v>
      </c>
      <c r="U47" s="18">
        <f t="shared" si="65"/>
        <v>1.0000000075046378</v>
      </c>
      <c r="V47" s="18">
        <f t="shared" si="66"/>
        <v>1.2251234879189144E-4</v>
      </c>
      <c r="W47" s="32" t="str">
        <f t="shared" si="53"/>
        <v>1-0.000299474631878478i</v>
      </c>
      <c r="X47" s="18">
        <f t="shared" si="67"/>
        <v>1.0000000448425266</v>
      </c>
      <c r="Y47" s="18">
        <f t="shared" si="68"/>
        <v>-2.9947462292567885E-4</v>
      </c>
      <c r="Z47" s="32" t="str">
        <f t="shared" si="54"/>
        <v>0.999999998479242+0.000146981128389712i</v>
      </c>
      <c r="AA47" s="18">
        <f t="shared" si="69"/>
        <v>1.000000009280968</v>
      </c>
      <c r="AB47" s="18">
        <f t="shared" si="70"/>
        <v>1.4698112755480149E-4</v>
      </c>
      <c r="AC47" s="68" t="str">
        <f t="shared" si="71"/>
        <v>23.2031280711731-1.53040782421848i</v>
      </c>
      <c r="AD47" s="66">
        <f t="shared" si="72"/>
        <v>27.329782969140602</v>
      </c>
      <c r="AE47" s="63">
        <f t="shared" si="73"/>
        <v>-3.7735897469236965</v>
      </c>
      <c r="AF47" s="51" t="e">
        <f t="shared" si="74"/>
        <v>#NUM!</v>
      </c>
      <c r="AG47" s="51" t="str">
        <f t="shared" si="55"/>
        <v>1-0.0918842620536242i</v>
      </c>
      <c r="AH47" s="51">
        <f t="shared" si="75"/>
        <v>1.0042124862862138</v>
      </c>
      <c r="AI47" s="51">
        <f t="shared" si="76"/>
        <v>-9.1626979805776457E-2</v>
      </c>
      <c r="AJ47" s="51" t="str">
        <f t="shared" si="56"/>
        <v>1+0.000122512349404832i</v>
      </c>
      <c r="AK47" s="51">
        <f t="shared" si="77"/>
        <v>1.0000000075046378</v>
      </c>
      <c r="AL47" s="51">
        <f t="shared" si="78"/>
        <v>1.2251234879189144E-4</v>
      </c>
      <c r="AM47" s="51" t="e">
        <f t="shared" si="57"/>
        <v>#NUM!</v>
      </c>
      <c r="AN47" s="51" t="e">
        <f t="shared" si="79"/>
        <v>#NUM!</v>
      </c>
      <c r="AO47" s="51" t="e">
        <f t="shared" si="80"/>
        <v>#NUM!</v>
      </c>
      <c r="AP47" s="60" t="e">
        <f t="shared" si="81"/>
        <v>#NUM!</v>
      </c>
      <c r="AQ47" s="51" t="e">
        <f t="shared" si="82"/>
        <v>#NUM!</v>
      </c>
      <c r="AR47" s="63" t="e">
        <f t="shared" si="83"/>
        <v>#NUM!</v>
      </c>
      <c r="AS47" s="32" t="str">
        <f t="shared" si="58"/>
        <v>-0.000170731707317073</v>
      </c>
      <c r="AT47" s="32" t="str">
        <f t="shared" si="59"/>
        <v>4.65546927738362E-06i</v>
      </c>
      <c r="AU47" s="32">
        <f t="shared" si="84"/>
        <v>4.6554692773836204E-6</v>
      </c>
      <c r="AV47" s="32">
        <f t="shared" si="85"/>
        <v>1.5707963267948966</v>
      </c>
      <c r="AW47" s="32" t="str">
        <f t="shared" si="60"/>
        <v>1+0.000991189386868987i</v>
      </c>
      <c r="AX47" s="32">
        <f t="shared" si="86"/>
        <v>1.0000004912280798</v>
      </c>
      <c r="AY47" s="32">
        <f t="shared" si="87"/>
        <v>9.9118906226905901E-4</v>
      </c>
      <c r="AZ47" s="32" t="str">
        <f t="shared" si="61"/>
        <v>1+0.0188325983505108i</v>
      </c>
      <c r="BA47" s="32">
        <f t="shared" si="88"/>
        <v>1.0001773176595397</v>
      </c>
      <c r="BB47" s="32">
        <f t="shared" si="89"/>
        <v>1.8830372391958623E-2</v>
      </c>
      <c r="BC47" s="60" t="str">
        <f t="shared" si="90"/>
        <v>-0.654303796064311+36.6740099434865i</v>
      </c>
      <c r="BD47" s="51">
        <f t="shared" si="91"/>
        <v>31.288550124728953</v>
      </c>
      <c r="BE47" s="63">
        <f t="shared" si="92"/>
        <v>91.02210991475134</v>
      </c>
      <c r="BF47" s="60" t="str">
        <f t="shared" si="93"/>
        <v>40.9442969854431+851.953101251106i</v>
      </c>
      <c r="BG47" s="66">
        <f t="shared" si="94"/>
        <v>58.618333093869559</v>
      </c>
      <c r="BH47" s="63">
        <f t="shared" si="95"/>
        <v>87.24852016782765</v>
      </c>
      <c r="BI47" s="60" t="e">
        <f t="shared" si="96"/>
        <v>#NUM!</v>
      </c>
      <c r="BJ47" s="66" t="e">
        <f t="shared" si="97"/>
        <v>#NUM!</v>
      </c>
      <c r="BK47" s="63" t="e">
        <f t="shared" si="98"/>
        <v>#NUM!</v>
      </c>
      <c r="BL47" s="51">
        <f t="shared" si="99"/>
        <v>58.618333093869559</v>
      </c>
      <c r="BM47" s="63">
        <f t="shared" si="100"/>
        <v>87.24852016782765</v>
      </c>
    </row>
    <row r="48" spans="1:65" x14ac:dyDescent="0.3">
      <c r="A48" t="s">
        <v>208</v>
      </c>
      <c r="B48" s="1">
        <f>1/(PI()*(((1-DC_VIN_Var)*(1+(B44/B45)))-0.5))</f>
        <v>0.26531904076666801</v>
      </c>
      <c r="K48" s="32"/>
      <c r="N48" s="11">
        <v>30</v>
      </c>
      <c r="O48" s="52">
        <f t="shared" si="62"/>
        <v>19.952623149688804</v>
      </c>
      <c r="P48" s="50" t="str">
        <f t="shared" si="50"/>
        <v>23.3035714285714</v>
      </c>
      <c r="Q48" s="18" t="str">
        <f t="shared" si="51"/>
        <v>1+0.067160372471687i</v>
      </c>
      <c r="R48" s="18">
        <f t="shared" si="63"/>
        <v>1.0022527204405762</v>
      </c>
      <c r="S48" s="18">
        <f t="shared" si="64"/>
        <v>6.7059668896622474E-2</v>
      </c>
      <c r="T48" s="18" t="str">
        <f t="shared" si="52"/>
        <v>1+0.000125366028613816i</v>
      </c>
      <c r="U48" s="18">
        <f t="shared" si="65"/>
        <v>1.0000000078583204</v>
      </c>
      <c r="V48" s="18">
        <f t="shared" si="66"/>
        <v>1.253660279570384E-4</v>
      </c>
      <c r="W48" s="32" t="str">
        <f t="shared" si="53"/>
        <v>1-0.000306450292167106i</v>
      </c>
      <c r="X48" s="18">
        <f t="shared" si="67"/>
        <v>1.0000000469558896</v>
      </c>
      <c r="Y48" s="18">
        <f t="shared" si="68"/>
        <v>-3.0645028257400889E-4</v>
      </c>
      <c r="Z48" s="32" t="str">
        <f t="shared" si="54"/>
        <v>0.999999998407571+0.00015040475867871i</v>
      </c>
      <c r="AA48" s="18">
        <f t="shared" si="69"/>
        <v>1.0000000097183666</v>
      </c>
      <c r="AB48" s="18">
        <f t="shared" si="70"/>
        <v>1.5040475778408725E-4</v>
      </c>
      <c r="AC48" s="68" t="str">
        <f t="shared" si="71"/>
        <v>23.1984155773546-1.56573910901328i</v>
      </c>
      <c r="AD48" s="66">
        <f t="shared" si="72"/>
        <v>27.328905210240556</v>
      </c>
      <c r="AE48" s="63">
        <f t="shared" si="73"/>
        <v>-3.8612289246867237</v>
      </c>
      <c r="AF48" s="51" t="e">
        <f t="shared" si="74"/>
        <v>#NUM!</v>
      </c>
      <c r="AG48" s="51" t="str">
        <f t="shared" si="55"/>
        <v>1-0.0940245214603622i</v>
      </c>
      <c r="AH48" s="51">
        <f t="shared" si="75"/>
        <v>1.0044105787156217</v>
      </c>
      <c r="AI48" s="51">
        <f t="shared" si="76"/>
        <v>-9.3748903904894265E-2</v>
      </c>
      <c r="AJ48" s="51" t="str">
        <f t="shared" si="56"/>
        <v>1+0.000125366028613816i</v>
      </c>
      <c r="AK48" s="51">
        <f t="shared" si="77"/>
        <v>1.0000000078583204</v>
      </c>
      <c r="AL48" s="51">
        <f t="shared" si="78"/>
        <v>1.253660279570384E-4</v>
      </c>
      <c r="AM48" s="51" t="e">
        <f t="shared" si="57"/>
        <v>#NUM!</v>
      </c>
      <c r="AN48" s="51" t="e">
        <f t="shared" si="79"/>
        <v>#NUM!</v>
      </c>
      <c r="AO48" s="51" t="e">
        <f t="shared" si="80"/>
        <v>#NUM!</v>
      </c>
      <c r="AP48" s="60" t="e">
        <f t="shared" si="81"/>
        <v>#NUM!</v>
      </c>
      <c r="AQ48" s="51" t="e">
        <f t="shared" si="82"/>
        <v>#NUM!</v>
      </c>
      <c r="AR48" s="63" t="e">
        <f t="shared" si="83"/>
        <v>#NUM!</v>
      </c>
      <c r="AS48" s="32" t="str">
        <f t="shared" si="58"/>
        <v>-0.000170731707317073</v>
      </c>
      <c r="AT48" s="32" t="str">
        <f t="shared" si="59"/>
        <v>4.76390908732501E-06i</v>
      </c>
      <c r="AU48" s="32">
        <f t="shared" si="84"/>
        <v>4.7639090873250098E-6</v>
      </c>
      <c r="AV48" s="32">
        <f t="shared" si="85"/>
        <v>1.5707963267948966</v>
      </c>
      <c r="AW48" s="32" t="str">
        <f t="shared" si="60"/>
        <v>1+0.00101427715360609i</v>
      </c>
      <c r="AX48" s="32">
        <f t="shared" si="86"/>
        <v>1.0000005143789399</v>
      </c>
      <c r="AY48" s="32">
        <f t="shared" si="87"/>
        <v>1.0142768057910105E-3</v>
      </c>
      <c r="AZ48" s="32" t="str">
        <f t="shared" si="61"/>
        <v>1+0.0192712659185158i</v>
      </c>
      <c r="BA48" s="32">
        <f t="shared" si="88"/>
        <v>1.0001856736077068</v>
      </c>
      <c r="BB48" s="32">
        <f t="shared" si="89"/>
        <v>1.9268880784867819E-2</v>
      </c>
      <c r="BC48" s="60" t="str">
        <f t="shared" si="90"/>
        <v>-0.654303765768936+35.8392374274106i</v>
      </c>
      <c r="BD48" s="51">
        <f t="shared" si="91"/>
        <v>31.088622489316467</v>
      </c>
      <c r="BE48" s="63">
        <f t="shared" si="92"/>
        <v>91.045911764683822</v>
      </c>
      <c r="BF48" s="60" t="str">
        <f t="shared" si="93"/>
        <v>40.9360850051734+832.437992811791i</v>
      </c>
      <c r="BG48" s="66">
        <f t="shared" si="94"/>
        <v>58.417527699557027</v>
      </c>
      <c r="BH48" s="63">
        <f t="shared" si="95"/>
        <v>87.184682839997095</v>
      </c>
      <c r="BI48" s="60" t="e">
        <f t="shared" si="96"/>
        <v>#NUM!</v>
      </c>
      <c r="BJ48" s="66" t="e">
        <f t="shared" si="97"/>
        <v>#NUM!</v>
      </c>
      <c r="BK48" s="63" t="e">
        <f t="shared" si="98"/>
        <v>#NUM!</v>
      </c>
      <c r="BL48" s="51">
        <f t="shared" si="99"/>
        <v>58.417527699557027</v>
      </c>
      <c r="BM48" s="63">
        <f t="shared" si="100"/>
        <v>87.184682839997095</v>
      </c>
    </row>
    <row r="49" spans="1:65" x14ac:dyDescent="0.3">
      <c r="K49" s="32"/>
      <c r="N49" s="11">
        <v>31</v>
      </c>
      <c r="O49" s="52">
        <f t="shared" si="62"/>
        <v>20.4173794466953</v>
      </c>
      <c r="P49" s="50" t="str">
        <f t="shared" si="50"/>
        <v>23.3035714285714</v>
      </c>
      <c r="Q49" s="18" t="str">
        <f t="shared" si="51"/>
        <v>1+0.0687247385092424i</v>
      </c>
      <c r="R49" s="18">
        <f t="shared" si="63"/>
        <v>1.0023587629602306</v>
      </c>
      <c r="S49" s="18">
        <f t="shared" si="64"/>
        <v>6.8616846393939404E-2</v>
      </c>
      <c r="T49" s="18" t="str">
        <f t="shared" si="52"/>
        <v>1+0.000128286178550586i</v>
      </c>
      <c r="U49" s="18">
        <f t="shared" si="65"/>
        <v>1.0000000082286717</v>
      </c>
      <c r="V49" s="18">
        <f t="shared" si="66"/>
        <v>1.2828617784683608E-4</v>
      </c>
      <c r="W49" s="32" t="str">
        <f t="shared" si="53"/>
        <v>1-0.000313588436456988i</v>
      </c>
      <c r="X49" s="18">
        <f t="shared" si="67"/>
        <v>1.0000000491688525</v>
      </c>
      <c r="Y49" s="18">
        <f t="shared" si="68"/>
        <v>-3.1358842617779933E-4</v>
      </c>
      <c r="Z49" s="32" t="str">
        <f t="shared" si="54"/>
        <v>0.999999998332523+0.000153908135561602i</v>
      </c>
      <c r="AA49" s="18">
        <f t="shared" si="69"/>
        <v>1.00000001017638</v>
      </c>
      <c r="AB49" s="18">
        <f t="shared" si="70"/>
        <v>1.539081346029963E-4</v>
      </c>
      <c r="AC49" s="68" t="str">
        <f t="shared" si="71"/>
        <v>23.1934830316237-1.60187087007658i</v>
      </c>
      <c r="AD49" s="66">
        <f t="shared" si="72"/>
        <v>27.327986273949492</v>
      </c>
      <c r="AE49" s="63">
        <f t="shared" si="73"/>
        <v>-3.9508910251793083</v>
      </c>
      <c r="AF49" s="51" t="e">
        <f t="shared" si="74"/>
        <v>#NUM!</v>
      </c>
      <c r="AG49" s="51" t="str">
        <f t="shared" si="55"/>
        <v>1-0.0962146339129397i</v>
      </c>
      <c r="AH49" s="51">
        <f t="shared" si="75"/>
        <v>1.0046179650887201</v>
      </c>
      <c r="AI49" s="51">
        <f t="shared" si="76"/>
        <v>-9.5919377651771151E-2</v>
      </c>
      <c r="AJ49" s="51" t="str">
        <f t="shared" si="56"/>
        <v>1+0.000128286178550586i</v>
      </c>
      <c r="AK49" s="51">
        <f t="shared" si="77"/>
        <v>1.0000000082286717</v>
      </c>
      <c r="AL49" s="51">
        <f t="shared" si="78"/>
        <v>1.2828617784683608E-4</v>
      </c>
      <c r="AM49" s="51" t="e">
        <f t="shared" si="57"/>
        <v>#NUM!</v>
      </c>
      <c r="AN49" s="51" t="e">
        <f t="shared" si="79"/>
        <v>#NUM!</v>
      </c>
      <c r="AO49" s="51" t="e">
        <f t="shared" si="80"/>
        <v>#NUM!</v>
      </c>
      <c r="AP49" s="60" t="e">
        <f t="shared" si="81"/>
        <v>#NUM!</v>
      </c>
      <c r="AQ49" s="51" t="e">
        <f t="shared" si="82"/>
        <v>#NUM!</v>
      </c>
      <c r="AR49" s="63" t="e">
        <f t="shared" si="83"/>
        <v>#NUM!</v>
      </c>
      <c r="AS49" s="32" t="str">
        <f t="shared" si="58"/>
        <v>-0.000170731707317073</v>
      </c>
      <c r="AT49" s="32" t="str">
        <f t="shared" si="59"/>
        <v>4.87487478492228E-06i</v>
      </c>
      <c r="AU49" s="32">
        <f t="shared" si="84"/>
        <v>4.8748747849222797E-6</v>
      </c>
      <c r="AV49" s="32">
        <f t="shared" si="85"/>
        <v>1.5707963267948966</v>
      </c>
      <c r="AW49" s="32" t="str">
        <f t="shared" si="60"/>
        <v>1+0.00103790270351558i</v>
      </c>
      <c r="AX49" s="32">
        <f t="shared" si="86"/>
        <v>1.0000005386208659</v>
      </c>
      <c r="AY49" s="32">
        <f t="shared" si="87"/>
        <v>1.0379023308250187E-3</v>
      </c>
      <c r="AZ49" s="32" t="str">
        <f t="shared" si="61"/>
        <v>1+0.0197201513667961i</v>
      </c>
      <c r="BA49" s="32">
        <f t="shared" si="88"/>
        <v>1.0001944232847579</v>
      </c>
      <c r="BB49" s="32">
        <f t="shared" si="89"/>
        <v>1.9717595676877257E-2</v>
      </c>
      <c r="BC49" s="60" t="str">
        <f t="shared" si="90"/>
        <v>-0.654303734045784+35.0234673494042i</v>
      </c>
      <c r="BD49" s="51">
        <f t="shared" si="91"/>
        <v>30.888698263042404</v>
      </c>
      <c r="BE49" s="63">
        <f t="shared" si="92"/>
        <v>91.070267591327394</v>
      </c>
      <c r="BF49" s="60" t="str">
        <f t="shared" si="93"/>
        <v>40.9274895629699+813.364305768783i</v>
      </c>
      <c r="BG49" s="66">
        <f t="shared" si="94"/>
        <v>58.216684536991892</v>
      </c>
      <c r="BH49" s="63">
        <f t="shared" si="95"/>
        <v>87.119376566148091</v>
      </c>
      <c r="BI49" s="60" t="e">
        <f t="shared" si="96"/>
        <v>#NUM!</v>
      </c>
      <c r="BJ49" s="66" t="e">
        <f t="shared" si="97"/>
        <v>#NUM!</v>
      </c>
      <c r="BK49" s="63" t="e">
        <f t="shared" si="98"/>
        <v>#NUM!</v>
      </c>
      <c r="BL49" s="51">
        <f t="shared" si="99"/>
        <v>58.216684536991892</v>
      </c>
      <c r="BM49" s="63">
        <f t="shared" si="100"/>
        <v>87.119376566148091</v>
      </c>
    </row>
    <row r="50" spans="1:65" ht="15.6" x14ac:dyDescent="0.3">
      <c r="A50" s="53" t="s">
        <v>223</v>
      </c>
      <c r="N50" s="11">
        <v>32</v>
      </c>
      <c r="O50" s="52">
        <f t="shared" si="62"/>
        <v>20.8929613085404</v>
      </c>
      <c r="P50" s="50" t="str">
        <f t="shared" si="50"/>
        <v>23.3035714285714</v>
      </c>
      <c r="Q50" s="18" t="str">
        <f t="shared" si="51"/>
        <v>1+0.0703255433128354i</v>
      </c>
      <c r="R50" s="18">
        <f t="shared" si="63"/>
        <v>1.0024697910871159</v>
      </c>
      <c r="S50" s="18">
        <f t="shared" si="64"/>
        <v>7.0209950205940369E-2</v>
      </c>
      <c r="T50" s="18" t="str">
        <f t="shared" si="52"/>
        <v>1+0.000131274347517293i</v>
      </c>
      <c r="U50" s="18">
        <f t="shared" si="65"/>
        <v>1.0000000086164771</v>
      </c>
      <c r="V50" s="18">
        <f t="shared" si="66"/>
        <v>1.312743467632114E-4</v>
      </c>
      <c r="W50" s="32" t="str">
        <f t="shared" si="53"/>
        <v>1-0.000320892849486716i</v>
      </c>
      <c r="X50" s="18">
        <f t="shared" si="67"/>
        <v>1.0000000514861092</v>
      </c>
      <c r="Y50" s="18">
        <f t="shared" si="68"/>
        <v>-3.2089283847236693E-4</v>
      </c>
      <c r="Z50" s="32" t="str">
        <f t="shared" si="54"/>
        <v>0.999999998253937+0.000157493116575184i</v>
      </c>
      <c r="AA50" s="18">
        <f t="shared" si="69"/>
        <v>1.0000000106559779</v>
      </c>
      <c r="AB50" s="18">
        <f t="shared" si="70"/>
        <v>1.5749311554801954E-4</v>
      </c>
      <c r="AC50" s="68" t="str">
        <f t="shared" si="71"/>
        <v>23.1883202587514-1.63882016107966i</v>
      </c>
      <c r="AD50" s="66">
        <f t="shared" si="72"/>
        <v>27.327024237889994</v>
      </c>
      <c r="AE50" s="63">
        <f t="shared" si="73"/>
        <v>-4.0426218567398866</v>
      </c>
      <c r="AF50" s="51" t="e">
        <f t="shared" si="74"/>
        <v>#NUM!</v>
      </c>
      <c r="AG50" s="51" t="str">
        <f t="shared" si="55"/>
        <v>1-0.09845576063797i</v>
      </c>
      <c r="AH50" s="51">
        <f t="shared" si="75"/>
        <v>1.0048350794049745</v>
      </c>
      <c r="AI50" s="51">
        <f t="shared" si="76"/>
        <v>-9.8139470015197364E-2</v>
      </c>
      <c r="AJ50" s="51" t="str">
        <f t="shared" si="56"/>
        <v>1+0.000131274347517293i</v>
      </c>
      <c r="AK50" s="51">
        <f t="shared" si="77"/>
        <v>1.0000000086164771</v>
      </c>
      <c r="AL50" s="51">
        <f t="shared" si="78"/>
        <v>1.312743467632114E-4</v>
      </c>
      <c r="AM50" s="51" t="e">
        <f t="shared" si="57"/>
        <v>#NUM!</v>
      </c>
      <c r="AN50" s="51" t="e">
        <f t="shared" si="79"/>
        <v>#NUM!</v>
      </c>
      <c r="AO50" s="51" t="e">
        <f t="shared" si="80"/>
        <v>#NUM!</v>
      </c>
      <c r="AP50" s="60" t="e">
        <f t="shared" si="81"/>
        <v>#NUM!</v>
      </c>
      <c r="AQ50" s="51" t="e">
        <f t="shared" si="82"/>
        <v>#NUM!</v>
      </c>
      <c r="AR50" s="63" t="e">
        <f t="shared" si="83"/>
        <v>#NUM!</v>
      </c>
      <c r="AS50" s="32" t="str">
        <f t="shared" si="58"/>
        <v>-0.000170731707317073</v>
      </c>
      <c r="AT50" s="32" t="str">
        <f t="shared" si="59"/>
        <v>4.98842520565712E-06i</v>
      </c>
      <c r="AU50" s="32">
        <f t="shared" si="84"/>
        <v>4.9884252056571199E-6</v>
      </c>
      <c r="AV50" s="32">
        <f t="shared" si="85"/>
        <v>1.5707963267948966</v>
      </c>
      <c r="AW50" s="32" t="str">
        <f t="shared" si="60"/>
        <v>1+0.00106207856317675i</v>
      </c>
      <c r="AX50" s="32">
        <f t="shared" si="86"/>
        <v>1.000000564005278</v>
      </c>
      <c r="AY50" s="32">
        <f t="shared" si="87"/>
        <v>1.0620781638316307E-3</v>
      </c>
      <c r="AZ50" s="32" t="str">
        <f t="shared" si="61"/>
        <v>1+0.0201794927003583i</v>
      </c>
      <c r="BA50" s="32">
        <f t="shared" si="88"/>
        <v>1.0002035852393469</v>
      </c>
      <c r="BB50" s="32">
        <f t="shared" si="89"/>
        <v>2.0176754259375655E-2</v>
      </c>
      <c r="BC50" s="60" t="str">
        <f t="shared" si="90"/>
        <v>-0.654303700827576+34.2262671773739i</v>
      </c>
      <c r="BD50" s="51">
        <f t="shared" si="91"/>
        <v>30.688777606449218</v>
      </c>
      <c r="BE50" s="63">
        <f t="shared" si="92"/>
        <v>91.095190267034269</v>
      </c>
      <c r="BF50" s="60" t="str">
        <f t="shared" si="93"/>
        <v>40.9184929275033+794.721930666923i</v>
      </c>
      <c r="BG50" s="66">
        <f t="shared" si="94"/>
        <v>58.015801844339208</v>
      </c>
      <c r="BH50" s="63">
        <f t="shared" si="95"/>
        <v>87.052568410294384</v>
      </c>
      <c r="BI50" s="60" t="e">
        <f t="shared" ref="BI50:BI113" si="101">IMPRODUCT(AP50,BC50)</f>
        <v>#NUM!</v>
      </c>
      <c r="BJ50" s="66" t="e">
        <f t="shared" si="97"/>
        <v>#NUM!</v>
      </c>
      <c r="BK50" s="63" t="e">
        <f t="shared" ref="BK50:BK113" si="102">(180/PI())*IMARGUMENT(BI50)</f>
        <v>#NUM!</v>
      </c>
      <c r="BL50" s="51">
        <f t="shared" si="99"/>
        <v>58.015801844339208</v>
      </c>
      <c r="BM50" s="63">
        <f t="shared" si="100"/>
        <v>87.052568410294384</v>
      </c>
    </row>
    <row r="51" spans="1:65" x14ac:dyDescent="0.3">
      <c r="A51" t="s">
        <v>188</v>
      </c>
      <c r="N51" s="11">
        <v>33</v>
      </c>
      <c r="O51" s="52">
        <f t="shared" si="62"/>
        <v>21.379620895022335</v>
      </c>
      <c r="P51" s="50" t="str">
        <f t="shared" si="50"/>
        <v>23.3035714285714</v>
      </c>
      <c r="Q51" s="18" t="str">
        <f t="shared" si="51"/>
        <v>1+0.0719636356503609i</v>
      </c>
      <c r="R51" s="18">
        <f t="shared" si="63"/>
        <v>1.0025860386301109</v>
      </c>
      <c r="S51" s="18">
        <f t="shared" si="64"/>
        <v>7.1839792653058704E-2</v>
      </c>
      <c r="T51" s="18" t="str">
        <f t="shared" si="52"/>
        <v>1+0.000134332119880674i</v>
      </c>
      <c r="U51" s="18">
        <f t="shared" si="65"/>
        <v>1.0000000090225591</v>
      </c>
      <c r="V51" s="18">
        <f t="shared" si="66"/>
        <v>1.3433211907266099E-4</v>
      </c>
      <c r="W51" s="32" t="str">
        <f t="shared" si="53"/>
        <v>1-0.000328367404152759i</v>
      </c>
      <c r="X51" s="18">
        <f t="shared" si="67"/>
        <v>1.0000000539125746</v>
      </c>
      <c r="Y51" s="18">
        <f t="shared" si="68"/>
        <v>-3.283673923506713E-4</v>
      </c>
      <c r="Z51" s="32" t="str">
        <f t="shared" si="54"/>
        <v>0.999999998171647+0.000161161602523842i</v>
      </c>
      <c r="AA51" s="18">
        <f t="shared" si="69"/>
        <v>1.0000000111581779</v>
      </c>
      <c r="AB51" s="18">
        <f t="shared" si="70"/>
        <v>1.6116160142321553E-4</v>
      </c>
      <c r="AC51" s="68" t="str">
        <f t="shared" si="71"/>
        <v>23.1829166226177-1.67660432113808i</v>
      </c>
      <c r="AD51" s="66">
        <f t="shared" si="72"/>
        <v>27.32601709083405</v>
      </c>
      <c r="AE51" s="63">
        <f t="shared" si="73"/>
        <v>-4.1364682019318071</v>
      </c>
      <c r="AF51" s="51" t="e">
        <f t="shared" si="74"/>
        <v>#NUM!</v>
      </c>
      <c r="AG51" s="51" t="str">
        <f t="shared" si="55"/>
        <v>1-0.100749089910506i</v>
      </c>
      <c r="AH51" s="51">
        <f t="shared" si="75"/>
        <v>1.0050623757348571</v>
      </c>
      <c r="AI51" s="51">
        <f t="shared" si="76"/>
        <v>-0.10041027053008725</v>
      </c>
      <c r="AJ51" s="51" t="str">
        <f t="shared" si="56"/>
        <v>1+0.000134332119880674i</v>
      </c>
      <c r="AK51" s="51">
        <f t="shared" si="77"/>
        <v>1.0000000090225591</v>
      </c>
      <c r="AL51" s="51">
        <f t="shared" si="78"/>
        <v>1.3433211907266099E-4</v>
      </c>
      <c r="AM51" s="51" t="e">
        <f t="shared" si="57"/>
        <v>#NUM!</v>
      </c>
      <c r="AN51" s="51" t="e">
        <f t="shared" si="79"/>
        <v>#NUM!</v>
      </c>
      <c r="AO51" s="51" t="e">
        <f t="shared" si="80"/>
        <v>#NUM!</v>
      </c>
      <c r="AP51" s="60" t="e">
        <f t="shared" si="81"/>
        <v>#NUM!</v>
      </c>
      <c r="AQ51" s="51" t="e">
        <f t="shared" si="82"/>
        <v>#NUM!</v>
      </c>
      <c r="AR51" s="63" t="e">
        <f t="shared" si="83"/>
        <v>#NUM!</v>
      </c>
      <c r="AS51" s="32" t="str">
        <f t="shared" si="58"/>
        <v>-0.000170731707317073</v>
      </c>
      <c r="AT51" s="32" t="str">
        <f t="shared" si="59"/>
        <v>5.10462055546561E-06i</v>
      </c>
      <c r="AU51" s="32">
        <f t="shared" si="84"/>
        <v>5.1046205554656101E-6</v>
      </c>
      <c r="AV51" s="32">
        <f t="shared" si="85"/>
        <v>1.5707963267948966</v>
      </c>
      <c r="AW51" s="32" t="str">
        <f t="shared" si="60"/>
        <v>1+0.00108681755095038i</v>
      </c>
      <c r="AX51" s="32">
        <f t="shared" si="86"/>
        <v>1.0000005905860201</v>
      </c>
      <c r="AY51" s="32">
        <f t="shared" si="87"/>
        <v>1.086817123044389E-3</v>
      </c>
      <c r="AZ51" s="32" t="str">
        <f t="shared" si="61"/>
        <v>1+0.0206495334680572i</v>
      </c>
      <c r="BA51" s="32">
        <f t="shared" si="88"/>
        <v>1.0002131788936039</v>
      </c>
      <c r="BB51" s="32">
        <f t="shared" si="89"/>
        <v>2.0646599209453925E-2</v>
      </c>
      <c r="BC51" s="60" t="str">
        <f t="shared" si="90"/>
        <v>-0.654303666043839+33.4472142252358i</v>
      </c>
      <c r="BD51" s="51">
        <f t="shared" si="91"/>
        <v>30.488860687633306</v>
      </c>
      <c r="BE51" s="63">
        <f t="shared" si="92"/>
        <v>91.120692961746855</v>
      </c>
      <c r="BF51" s="60" t="str">
        <f t="shared" si="93"/>
        <v>40.909076564294+776.5009869963i</v>
      </c>
      <c r="BG51" s="66">
        <f t="shared" si="94"/>
        <v>57.814877778467363</v>
      </c>
      <c r="BH51" s="63">
        <f t="shared" si="95"/>
        <v>86.984224759815049</v>
      </c>
      <c r="BI51" s="60" t="e">
        <f t="shared" si="101"/>
        <v>#NUM!</v>
      </c>
      <c r="BJ51" s="66" t="e">
        <f t="shared" si="97"/>
        <v>#NUM!</v>
      </c>
      <c r="BK51" s="63" t="e">
        <f t="shared" si="102"/>
        <v>#NUM!</v>
      </c>
      <c r="BL51" s="51">
        <f t="shared" si="99"/>
        <v>57.814877778467363</v>
      </c>
      <c r="BM51" s="63">
        <f t="shared" si="100"/>
        <v>86.984224759815049</v>
      </c>
    </row>
    <row r="52" spans="1:65" x14ac:dyDescent="0.3">
      <c r="A52" t="s">
        <v>186</v>
      </c>
      <c r="B52" s="3">
        <f>RFBT</f>
        <v>150000</v>
      </c>
      <c r="C52" s="2" t="s">
        <v>36</v>
      </c>
      <c r="E52" t="s">
        <v>189</v>
      </c>
      <c r="N52" s="11">
        <v>34</v>
      </c>
      <c r="O52" s="52">
        <f t="shared" si="62"/>
        <v>21.877616239495538</v>
      </c>
      <c r="P52" s="50" t="str">
        <f t="shared" si="50"/>
        <v>23.3035714285714</v>
      </c>
      <c r="Q52" s="18" t="str">
        <f t="shared" si="51"/>
        <v>1+0.0736398840600599i</v>
      </c>
      <c r="R52" s="18">
        <f t="shared" si="63"/>
        <v>1.0027077503063289</v>
      </c>
      <c r="S52" s="18">
        <f t="shared" si="64"/>
        <v>7.3507203243965799E-2</v>
      </c>
      <c r="T52" s="18" t="str">
        <f t="shared" si="52"/>
        <v>1+0.000137461116912112i</v>
      </c>
      <c r="U52" s="18">
        <f t="shared" si="65"/>
        <v>1.0000000094477792</v>
      </c>
      <c r="V52" s="18">
        <f t="shared" si="66"/>
        <v>1.3746111604631049E-4</v>
      </c>
      <c r="W52" s="32" t="str">
        <f t="shared" si="53"/>
        <v>1-0.000336016063562941i</v>
      </c>
      <c r="X52" s="18">
        <f t="shared" si="67"/>
        <v>1.000000056453396</v>
      </c>
      <c r="Y52" s="18">
        <f t="shared" si="68"/>
        <v>-3.3601605091677624E-4</v>
      </c>
      <c r="Z52" s="32" t="str">
        <f t="shared" si="54"/>
        <v>0.99999999808548+0.000164915538487384i</v>
      </c>
      <c r="AA52" s="18">
        <f t="shared" si="69"/>
        <v>1.0000000116840473</v>
      </c>
      <c r="AB52" s="18">
        <f t="shared" si="70"/>
        <v>1.6491553730804142E-4</v>
      </c>
      <c r="AC52" s="68" t="str">
        <f t="shared" si="71"/>
        <v>23.1772610062581-1.71524097371391i</v>
      </c>
      <c r="AD52" s="66">
        <f t="shared" si="72"/>
        <v>27.32496272868195</v>
      </c>
      <c r="AE52" s="63">
        <f t="shared" si="73"/>
        <v>-4.23247783372305</v>
      </c>
      <c r="AF52" s="51" t="e">
        <f t="shared" si="74"/>
        <v>#NUM!</v>
      </c>
      <c r="AG52" s="51" t="str">
        <f t="shared" si="55"/>
        <v>1-0.103095837684084i</v>
      </c>
      <c r="AH52" s="51">
        <f t="shared" si="75"/>
        <v>1.0053003291294513</v>
      </c>
      <c r="AI52" s="51">
        <f t="shared" si="76"/>
        <v>-0.10273288947783378</v>
      </c>
      <c r="AJ52" s="51" t="str">
        <f t="shared" si="56"/>
        <v>1+0.000137461116912112i</v>
      </c>
      <c r="AK52" s="51">
        <f t="shared" si="77"/>
        <v>1.0000000094477792</v>
      </c>
      <c r="AL52" s="51">
        <f t="shared" si="78"/>
        <v>1.3746111604631049E-4</v>
      </c>
      <c r="AM52" s="51" t="e">
        <f t="shared" si="57"/>
        <v>#NUM!</v>
      </c>
      <c r="AN52" s="51" t="e">
        <f t="shared" si="79"/>
        <v>#NUM!</v>
      </c>
      <c r="AO52" s="51" t="e">
        <f t="shared" si="80"/>
        <v>#NUM!</v>
      </c>
      <c r="AP52" s="60" t="e">
        <f t="shared" si="81"/>
        <v>#NUM!</v>
      </c>
      <c r="AQ52" s="51" t="e">
        <f t="shared" si="82"/>
        <v>#NUM!</v>
      </c>
      <c r="AR52" s="63" t="e">
        <f t="shared" si="83"/>
        <v>#NUM!</v>
      </c>
      <c r="AS52" s="32" t="str">
        <f t="shared" si="58"/>
        <v>-0.000170731707317073</v>
      </c>
      <c r="AT52" s="32" t="str">
        <f t="shared" si="59"/>
        <v>5.22352244266025E-06i</v>
      </c>
      <c r="AU52" s="32">
        <f t="shared" si="84"/>
        <v>5.2235224426602503E-6</v>
      </c>
      <c r="AV52" s="32">
        <f t="shared" si="85"/>
        <v>1.5707963267948966</v>
      </c>
      <c r="AW52" s="32" t="str">
        <f t="shared" si="60"/>
        <v>1+0.00111213278377525i</v>
      </c>
      <c r="AX52" s="32">
        <f t="shared" si="86"/>
        <v>1.0000006184194732</v>
      </c>
      <c r="AY52" s="32">
        <f t="shared" si="87"/>
        <v>1.112132325265735E-3</v>
      </c>
      <c r="AZ52" s="32" t="str">
        <f t="shared" si="61"/>
        <v>1+0.0211305228917299i</v>
      </c>
      <c r="BA52" s="32">
        <f t="shared" si="88"/>
        <v>1.0002232245842315</v>
      </c>
      <c r="BB52" s="32">
        <f t="shared" si="89"/>
        <v>2.1127378814886036E-2</v>
      </c>
      <c r="BC52" s="60" t="str">
        <f t="shared" si="90"/>
        <v>-0.654303629620804+32.6858954288026i</v>
      </c>
      <c r="BD52" s="51">
        <f t="shared" si="91"/>
        <v>30.288947682600075</v>
      </c>
      <c r="BE52" s="63">
        <f t="shared" si="92"/>
        <v>91.146789149769276</v>
      </c>
      <c r="BF52" s="60" t="str">
        <f t="shared" si="93"/>
        <v>40.899221100947+758.691817971392i</v>
      </c>
      <c r="BG52" s="66">
        <f t="shared" si="94"/>
        <v>57.613910411282028</v>
      </c>
      <c r="BH52" s="63">
        <f t="shared" si="95"/>
        <v>86.914311316046238</v>
      </c>
      <c r="BI52" s="60" t="e">
        <f t="shared" si="101"/>
        <v>#NUM!</v>
      </c>
      <c r="BJ52" s="66" t="e">
        <f t="shared" si="97"/>
        <v>#NUM!</v>
      </c>
      <c r="BK52" s="63" t="e">
        <f t="shared" si="102"/>
        <v>#NUM!</v>
      </c>
      <c r="BL52" s="51">
        <f t="shared" si="99"/>
        <v>57.613910411282028</v>
      </c>
      <c r="BM52" s="63">
        <f t="shared" si="100"/>
        <v>86.914311316046238</v>
      </c>
    </row>
    <row r="53" spans="1:65" x14ac:dyDescent="0.3">
      <c r="A53" t="s">
        <v>187</v>
      </c>
      <c r="B53" s="3">
        <f>RFBB</f>
        <v>14000</v>
      </c>
      <c r="C53" s="2" t="s">
        <v>36</v>
      </c>
      <c r="E53" t="s">
        <v>190</v>
      </c>
      <c r="N53" s="11">
        <v>35</v>
      </c>
      <c r="O53" s="52">
        <f t="shared" si="62"/>
        <v>22.387211385683404</v>
      </c>
      <c r="P53" s="50" t="str">
        <f t="shared" si="50"/>
        <v>23.3035714285714</v>
      </c>
      <c r="Q53" s="18" t="str">
        <f t="shared" si="51"/>
        <v>1+0.0753551773110267i</v>
      </c>
      <c r="R53" s="18">
        <f t="shared" si="63"/>
        <v>1.002835182244608</v>
      </c>
      <c r="S53" s="18">
        <f t="shared" si="64"/>
        <v>7.5213028954382977E-2</v>
      </c>
      <c r="T53" s="18" t="str">
        <f t="shared" si="52"/>
        <v>1+0.00014066299764725i</v>
      </c>
      <c r="U53" s="18">
        <f t="shared" si="65"/>
        <v>1.0000000098930395</v>
      </c>
      <c r="V53" s="18">
        <f t="shared" si="66"/>
        <v>1.4066299671952696E-4</v>
      </c>
      <c r="W53" s="32" t="str">
        <f t="shared" si="53"/>
        <v>1-0.000343842883137722i</v>
      </c>
      <c r="X53" s="18">
        <f t="shared" si="67"/>
        <v>1.0000000591139624</v>
      </c>
      <c r="Y53" s="18">
        <f t="shared" si="68"/>
        <v>-3.4384286958711235E-4</v>
      </c>
      <c r="Z53" s="32" t="str">
        <f t="shared" si="54"/>
        <v>0.999999997995251+0.000168756914852347i</v>
      </c>
      <c r="AA53" s="18">
        <f t="shared" si="69"/>
        <v>1.000000012234699</v>
      </c>
      <c r="AB53" s="18">
        <f t="shared" si="70"/>
        <v>1.6875691358865871E-4</v>
      </c>
      <c r="AC53" s="68" t="str">
        <f t="shared" si="71"/>
        <v>23.1713417911384-1.75474802496796i</v>
      </c>
      <c r="AD53" s="66">
        <f t="shared" si="72"/>
        <v>27.323858950268367</v>
      </c>
      <c r="AE53" s="63">
        <f t="shared" si="73"/>
        <v>-4.3306995315909891</v>
      </c>
      <c r="AF53" s="51" t="e">
        <f t="shared" si="74"/>
        <v>#NUM!</v>
      </c>
      <c r="AG53" s="51" t="str">
        <f t="shared" si="55"/>
        <v>1-0.105497248235438i</v>
      </c>
      <c r="AH53" s="51">
        <f t="shared" si="75"/>
        <v>1.0055494365695052</v>
      </c>
      <c r="AI53" s="51">
        <f t="shared" si="76"/>
        <v>-0.10510845805083291</v>
      </c>
      <c r="AJ53" s="51" t="str">
        <f t="shared" si="56"/>
        <v>1+0.00014066299764725i</v>
      </c>
      <c r="AK53" s="51">
        <f t="shared" si="77"/>
        <v>1.0000000098930395</v>
      </c>
      <c r="AL53" s="51">
        <f t="shared" si="78"/>
        <v>1.4066299671952696E-4</v>
      </c>
      <c r="AM53" s="51" t="e">
        <f t="shared" si="57"/>
        <v>#NUM!</v>
      </c>
      <c r="AN53" s="51" t="e">
        <f t="shared" si="79"/>
        <v>#NUM!</v>
      </c>
      <c r="AO53" s="51" t="e">
        <f t="shared" si="80"/>
        <v>#NUM!</v>
      </c>
      <c r="AP53" s="60" t="e">
        <f t="shared" si="81"/>
        <v>#NUM!</v>
      </c>
      <c r="AQ53" s="51" t="e">
        <f t="shared" si="82"/>
        <v>#NUM!</v>
      </c>
      <c r="AR53" s="63" t="e">
        <f t="shared" si="83"/>
        <v>#NUM!</v>
      </c>
      <c r="AS53" s="32" t="str">
        <f t="shared" si="58"/>
        <v>-0.000170731707317073</v>
      </c>
      <c r="AT53" s="32" t="str">
        <f t="shared" si="59"/>
        <v>5.34519391059548E-06i</v>
      </c>
      <c r="AU53" s="32">
        <f t="shared" si="84"/>
        <v>5.3451939105954796E-6</v>
      </c>
      <c r="AV53" s="32">
        <f t="shared" si="85"/>
        <v>1.5707963267948966</v>
      </c>
      <c r="AW53" s="32" t="str">
        <f t="shared" si="60"/>
        <v>1+0.00113803768412291i</v>
      </c>
      <c r="AX53" s="32">
        <f t="shared" si="86"/>
        <v>1.0000006475646757</v>
      </c>
      <c r="AY53" s="32">
        <f t="shared" si="87"/>
        <v>1.1380371928211301E-3</v>
      </c>
      <c r="AZ53" s="32" t="str">
        <f t="shared" si="61"/>
        <v>1+0.0216227159983353i</v>
      </c>
      <c r="BA53" s="32">
        <f t="shared" si="88"/>
        <v>1.0002337436055357</v>
      </c>
      <c r="BB53" s="32">
        <f t="shared" si="89"/>
        <v>2.1619347101818825E-2</v>
      </c>
      <c r="BC53" s="60" t="str">
        <f t="shared" si="90"/>
        <v>-0.654303591481206+31.9419071267709i</v>
      </c>
      <c r="BD53" s="51">
        <f t="shared" si="91"/>
        <v>30.08903877563521</v>
      </c>
      <c r="BE53" s="63">
        <f t="shared" si="92"/>
        <v>91.173492616685039</v>
      </c>
      <c r="BF53" s="60" t="str">
        <f t="shared" si="93"/>
        <v>40.8889062910308+741.284985430089i</v>
      </c>
      <c r="BG53" s="66">
        <f t="shared" si="94"/>
        <v>57.412897725903576</v>
      </c>
      <c r="BH53" s="63">
        <f t="shared" si="95"/>
        <v>86.842793085094058</v>
      </c>
      <c r="BI53" s="60" t="e">
        <f t="shared" si="101"/>
        <v>#NUM!</v>
      </c>
      <c r="BJ53" s="66" t="e">
        <f t="shared" si="97"/>
        <v>#NUM!</v>
      </c>
      <c r="BK53" s="63" t="e">
        <f t="shared" si="102"/>
        <v>#NUM!</v>
      </c>
      <c r="BL53" s="51">
        <f t="shared" si="99"/>
        <v>57.412897725903576</v>
      </c>
      <c r="BM53" s="63">
        <f t="shared" si="100"/>
        <v>86.842793085094058</v>
      </c>
    </row>
    <row r="54" spans="1:65" x14ac:dyDescent="0.3">
      <c r="A54" t="s">
        <v>176</v>
      </c>
      <c r="B54" s="3">
        <f>RCOMP</f>
        <v>4270</v>
      </c>
      <c r="C54" s="2" t="s">
        <v>36</v>
      </c>
      <c r="E54" s="32" t="s">
        <v>183</v>
      </c>
      <c r="N54" s="11">
        <v>36</v>
      </c>
      <c r="O54" s="52">
        <f t="shared" si="62"/>
        <v>22.908676527677727</v>
      </c>
      <c r="P54" s="50" t="str">
        <f t="shared" si="50"/>
        <v>23.3035714285714</v>
      </c>
      <c r="Q54" s="18" t="str">
        <f t="shared" si="51"/>
        <v>1+0.0771104248744472i</v>
      </c>
      <c r="R54" s="18">
        <f t="shared" si="63"/>
        <v>1.0029686025117226</v>
      </c>
      <c r="S54" s="18">
        <f t="shared" si="64"/>
        <v>7.6958134503988335E-2</v>
      </c>
      <c r="T54" s="18" t="str">
        <f t="shared" si="52"/>
        <v>1+0.000143939459765635i</v>
      </c>
      <c r="U54" s="18">
        <f t="shared" si="65"/>
        <v>1.0000000103592839</v>
      </c>
      <c r="V54" s="18">
        <f t="shared" si="66"/>
        <v>1.4393945877156186E-4</v>
      </c>
      <c r="W54" s="32" t="str">
        <f t="shared" si="53"/>
        <v>1-0.000351852012760441i</v>
      </c>
      <c r="X54" s="18">
        <f t="shared" si="67"/>
        <v>1.0000000618999174</v>
      </c>
      <c r="Y54" s="18">
        <f t="shared" si="68"/>
        <v>-3.5185199824070128E-4</v>
      </c>
      <c r="Z54" s="32" t="str">
        <f t="shared" si="54"/>
        <v>0.99999999790077+0.000172687768367326i</v>
      </c>
      <c r="AA54" s="18">
        <f t="shared" si="69"/>
        <v>1.0000000128113025</v>
      </c>
      <c r="AB54" s="18">
        <f t="shared" si="70"/>
        <v>1.7268776701325961E-4</v>
      </c>
      <c r="AC54" s="68" t="str">
        <f t="shared" si="71"/>
        <v>23.1651468356315-1.79514366151548i</v>
      </c>
      <c r="AD54" s="66">
        <f t="shared" si="72"/>
        <v>27.322703452987099</v>
      </c>
      <c r="AE54" s="63">
        <f t="shared" si="73"/>
        <v>-4.4311830975214672</v>
      </c>
      <c r="AF54" s="51" t="e">
        <f t="shared" si="74"/>
        <v>#NUM!</v>
      </c>
      <c r="AG54" s="51" t="str">
        <f t="shared" si="55"/>
        <v>1-0.107954594824227i</v>
      </c>
      <c r="AH54" s="51">
        <f t="shared" si="75"/>
        <v>1.0058102179554864</v>
      </c>
      <c r="AI54" s="51">
        <f t="shared" si="76"/>
        <v>-0.10753812849953485</v>
      </c>
      <c r="AJ54" s="51" t="str">
        <f t="shared" si="56"/>
        <v>1+0.000143939459765635i</v>
      </c>
      <c r="AK54" s="51">
        <f t="shared" si="77"/>
        <v>1.0000000103592839</v>
      </c>
      <c r="AL54" s="51">
        <f t="shared" si="78"/>
        <v>1.4393945877156186E-4</v>
      </c>
      <c r="AM54" s="51" t="e">
        <f t="shared" si="57"/>
        <v>#NUM!</v>
      </c>
      <c r="AN54" s="51" t="e">
        <f t="shared" si="79"/>
        <v>#NUM!</v>
      </c>
      <c r="AO54" s="51" t="e">
        <f t="shared" si="80"/>
        <v>#NUM!</v>
      </c>
      <c r="AP54" s="60" t="e">
        <f t="shared" si="81"/>
        <v>#NUM!</v>
      </c>
      <c r="AQ54" s="51" t="e">
        <f t="shared" si="82"/>
        <v>#NUM!</v>
      </c>
      <c r="AR54" s="63" t="e">
        <f t="shared" si="83"/>
        <v>#NUM!</v>
      </c>
      <c r="AS54" s="32" t="str">
        <f t="shared" si="58"/>
        <v>-0.000170731707317073</v>
      </c>
      <c r="AT54" s="32" t="str">
        <f t="shared" si="59"/>
        <v>5.46969947109411E-06i</v>
      </c>
      <c r="AU54" s="32">
        <f t="shared" si="84"/>
        <v>5.4696994710941102E-6</v>
      </c>
      <c r="AV54" s="32">
        <f t="shared" si="85"/>
        <v>1.5707963267948966</v>
      </c>
      <c r="AW54" s="32" t="str">
        <f t="shared" si="60"/>
        <v>1+0.00116454598711439i</v>
      </c>
      <c r="AX54" s="32">
        <f t="shared" si="86"/>
        <v>1.0000006780834483</v>
      </c>
      <c r="AY54" s="32">
        <f t="shared" si="87"/>
        <v>1.1645454606750674E-3</v>
      </c>
      <c r="AZ54" s="32" t="str">
        <f t="shared" si="61"/>
        <v>1+0.0221263737551734i</v>
      </c>
      <c r="BA54" s="32">
        <f t="shared" si="88"/>
        <v>1.0002447582544753</v>
      </c>
      <c r="BB54" s="32">
        <f t="shared" si="89"/>
        <v>2.2122763965224147E-2</v>
      </c>
      <c r="BC54" s="60" t="str">
        <f t="shared" si="90"/>
        <v>-0.654303551544147+31.214854846695i</v>
      </c>
      <c r="BD54" s="51">
        <f t="shared" si="91"/>
        <v>29.889134159693679</v>
      </c>
      <c r="BE54" s="63">
        <f t="shared" si="92"/>
        <v>91.200817466423644</v>
      </c>
      <c r="BF54" s="60" t="str">
        <f t="shared" si="93"/>
        <v>40.8781109765749+724.271264849875i</v>
      </c>
      <c r="BG54" s="66">
        <f t="shared" si="94"/>
        <v>57.211837612680782</v>
      </c>
      <c r="BH54" s="63">
        <f t="shared" si="95"/>
        <v>86.769634368902189</v>
      </c>
      <c r="BI54" s="60" t="e">
        <f t="shared" si="101"/>
        <v>#NUM!</v>
      </c>
      <c r="BJ54" s="66" t="e">
        <f t="shared" si="97"/>
        <v>#NUM!</v>
      </c>
      <c r="BK54" s="63" t="e">
        <f t="shared" si="102"/>
        <v>#NUM!</v>
      </c>
      <c r="BL54" s="51">
        <f t="shared" si="99"/>
        <v>57.211837612680782</v>
      </c>
      <c r="BM54" s="63">
        <f t="shared" si="100"/>
        <v>86.769634368902189</v>
      </c>
    </row>
    <row r="55" spans="1:65" x14ac:dyDescent="0.3">
      <c r="A55" t="s">
        <v>181</v>
      </c>
      <c r="B55" s="3">
        <f>CCOMP</f>
        <v>3.6000000000000005E-8</v>
      </c>
      <c r="C55" s="2" t="s">
        <v>158</v>
      </c>
      <c r="E55" s="32" t="s">
        <v>184</v>
      </c>
      <c r="N55" s="11">
        <v>37</v>
      </c>
      <c r="O55" s="52">
        <f t="shared" si="62"/>
        <v>23.442288153199236</v>
      </c>
      <c r="P55" s="50" t="str">
        <f t="shared" si="50"/>
        <v>23.3035714285714</v>
      </c>
      <c r="Q55" s="18" t="str">
        <f t="shared" si="51"/>
        <v>1+0.0789065574058134i</v>
      </c>
      <c r="R55" s="18">
        <f t="shared" si="63"/>
        <v>1.0031082916622895</v>
      </c>
      <c r="S55" s="18">
        <f t="shared" si="64"/>
        <v>7.8743402630803053E-2</v>
      </c>
      <c r="T55" s="18" t="str">
        <f t="shared" si="52"/>
        <v>1+0.000147292240490852i</v>
      </c>
      <c r="U55" s="18">
        <f t="shared" si="65"/>
        <v>1.000000010847502</v>
      </c>
      <c r="V55" s="18">
        <f t="shared" si="66"/>
        <v>1.4729223942568342E-4</v>
      </c>
      <c r="W55" s="32" t="str">
        <f t="shared" si="53"/>
        <v>1-0.000360047698977638i</v>
      </c>
      <c r="X55" s="18">
        <f t="shared" si="67"/>
        <v>1.0000000648171707</v>
      </c>
      <c r="Y55" s="18">
        <f t="shared" si="68"/>
        <v>-3.6004768341945661E-4</v>
      </c>
      <c r="Z55" s="32" t="str">
        <f t="shared" si="54"/>
        <v>0.999999997801836+0.000176710183222887i</v>
      </c>
      <c r="AA55" s="18">
        <f t="shared" si="69"/>
        <v>1.0000000134150802</v>
      </c>
      <c r="AB55" s="18">
        <f t="shared" si="70"/>
        <v>1.767101817719788E-4</v>
      </c>
      <c r="AC55" s="68" t="str">
        <f t="shared" si="71"/>
        <v>23.1586634526813-1.83644634753544i</v>
      </c>
      <c r="AD55" s="66">
        <f t="shared" si="72"/>
        <v>27.321493828229659</v>
      </c>
      <c r="AE55" s="63">
        <f t="shared" si="73"/>
        <v>-4.533979371866149</v>
      </c>
      <c r="AF55" s="51" t="e">
        <f t="shared" si="74"/>
        <v>#NUM!</v>
      </c>
      <c r="AG55" s="51" t="str">
        <f t="shared" si="55"/>
        <v>1-0.110469180368139i</v>
      </c>
      <c r="AH55" s="51">
        <f t="shared" si="75"/>
        <v>1.0060832171402168</v>
      </c>
      <c r="AI55" s="51">
        <f t="shared" si="76"/>
        <v>-0.1100230742602816</v>
      </c>
      <c r="AJ55" s="51" t="str">
        <f t="shared" si="56"/>
        <v>1+0.000147292240490852i</v>
      </c>
      <c r="AK55" s="51">
        <f t="shared" si="77"/>
        <v>1.000000010847502</v>
      </c>
      <c r="AL55" s="51">
        <f t="shared" si="78"/>
        <v>1.4729223942568342E-4</v>
      </c>
      <c r="AM55" s="51" t="e">
        <f t="shared" si="57"/>
        <v>#NUM!</v>
      </c>
      <c r="AN55" s="51" t="e">
        <f t="shared" si="79"/>
        <v>#NUM!</v>
      </c>
      <c r="AO55" s="51" t="e">
        <f t="shared" si="80"/>
        <v>#NUM!</v>
      </c>
      <c r="AP55" s="60" t="e">
        <f t="shared" si="81"/>
        <v>#NUM!</v>
      </c>
      <c r="AQ55" s="51" t="e">
        <f t="shared" si="82"/>
        <v>#NUM!</v>
      </c>
      <c r="AR55" s="63" t="e">
        <f t="shared" si="83"/>
        <v>#NUM!</v>
      </c>
      <c r="AS55" s="32" t="str">
        <f t="shared" si="58"/>
        <v>-0.000170731707317073</v>
      </c>
      <c r="AT55" s="32" t="str">
        <f t="shared" si="59"/>
        <v>5.59710513865236E-06i</v>
      </c>
      <c r="AU55" s="32">
        <f t="shared" si="84"/>
        <v>5.5971051386523602E-6</v>
      </c>
      <c r="AV55" s="32">
        <f t="shared" si="85"/>
        <v>1.5707963267948966</v>
      </c>
      <c r="AW55" s="32" t="str">
        <f t="shared" si="60"/>
        <v>1+0.00119167174780283i</v>
      </c>
      <c r="AX55" s="32">
        <f t="shared" si="86"/>
        <v>1.0000007100405253</v>
      </c>
      <c r="AY55" s="32">
        <f t="shared" si="87"/>
        <v>1.1916711837129544E-3</v>
      </c>
      <c r="AZ55" s="32" t="str">
        <f t="shared" si="61"/>
        <v>1+0.0226417632082538i</v>
      </c>
      <c r="BA55" s="32">
        <f t="shared" si="88"/>
        <v>1.0002562918778259</v>
      </c>
      <c r="BB55" s="32">
        <f t="shared" si="89"/>
        <v>2.2637895302160049E-2</v>
      </c>
      <c r="BC55" s="60" t="str">
        <f t="shared" si="90"/>
        <v>-0.654303509724922+30.5043530958316i</v>
      </c>
      <c r="BD55" s="51">
        <f t="shared" si="91"/>
        <v>29.689234036806475</v>
      </c>
      <c r="BE55" s="63">
        <f t="shared" si="92"/>
        <v>91.228778128478694</v>
      </c>
      <c r="BF55" s="60" t="str">
        <f t="shared" si="93"/>
        <v>40.8668130491437+707.641640478735i</v>
      </c>
      <c r="BG55" s="66">
        <f t="shared" si="94"/>
        <v>57.010727865036131</v>
      </c>
      <c r="BH55" s="63">
        <f t="shared" si="95"/>
        <v>86.694798756612556</v>
      </c>
      <c r="BI55" s="60" t="e">
        <f t="shared" si="101"/>
        <v>#NUM!</v>
      </c>
      <c r="BJ55" s="66" t="e">
        <f t="shared" si="97"/>
        <v>#NUM!</v>
      </c>
      <c r="BK55" s="63" t="e">
        <f t="shared" si="102"/>
        <v>#NUM!</v>
      </c>
      <c r="BL55" s="51">
        <f t="shared" si="99"/>
        <v>57.010727865036131</v>
      </c>
      <c r="BM55" s="63">
        <f t="shared" si="100"/>
        <v>86.694798756612556</v>
      </c>
    </row>
    <row r="56" spans="1:65" x14ac:dyDescent="0.3">
      <c r="A56" t="s">
        <v>182</v>
      </c>
      <c r="B56" s="3">
        <f>CHF</f>
        <v>2.0000000000000001E-9</v>
      </c>
      <c r="C56" s="2" t="s">
        <v>158</v>
      </c>
      <c r="E56" s="32" t="s">
        <v>185</v>
      </c>
      <c r="N56" s="11">
        <v>38</v>
      </c>
      <c r="O56" s="52">
        <f t="shared" si="62"/>
        <v>23.988329190194907</v>
      </c>
      <c r="P56" s="50" t="str">
        <f t="shared" si="50"/>
        <v>23.3035714285714</v>
      </c>
      <c r="Q56" s="18" t="str">
        <f t="shared" si="51"/>
        <v>1+0.0807445272383677i</v>
      </c>
      <c r="R56" s="18">
        <f t="shared" si="63"/>
        <v>1.0032545433133844</v>
      </c>
      <c r="S56" s="18">
        <f t="shared" si="64"/>
        <v>8.0569734362393702E-2</v>
      </c>
      <c r="T56" s="18" t="str">
        <f t="shared" si="52"/>
        <v>1+0.00015072311751162i</v>
      </c>
      <c r="U56" s="18">
        <f t="shared" si="65"/>
        <v>1.0000000113587291</v>
      </c>
      <c r="V56" s="18">
        <f t="shared" si="66"/>
        <v>1.5072311637027132E-4</v>
      </c>
      <c r="W56" s="32" t="str">
        <f t="shared" si="53"/>
        <v>1-0.000368434287250627i</v>
      </c>
      <c r="X56" s="18">
        <f t="shared" si="67"/>
        <v>1.0000000678719096</v>
      </c>
      <c r="Y56" s="18">
        <f t="shared" si="68"/>
        <v>-3.6843427057973532E-4</v>
      </c>
      <c r="Z56" s="32" t="str">
        <f t="shared" si="54"/>
        <v>0.99999999769824+0.000180826292156628i</v>
      </c>
      <c r="AA56" s="18">
        <f t="shared" si="69"/>
        <v>1.0000000140473138</v>
      </c>
      <c r="AB56" s="18">
        <f t="shared" si="70"/>
        <v>1.808262906019518E-4</v>
      </c>
      <c r="AC56" s="68" t="str">
        <f t="shared" si="71"/>
        <v>23.1518783866272-1.87867482118005i</v>
      </c>
      <c r="AD56" s="66">
        <f t="shared" si="72"/>
        <v>27.320227556628364</v>
      </c>
      <c r="AE56" s="63">
        <f t="shared" si="73"/>
        <v>-4.6391402490209579</v>
      </c>
      <c r="AF56" s="51" t="e">
        <f t="shared" si="74"/>
        <v>#NUM!</v>
      </c>
      <c r="AG56" s="51" t="str">
        <f t="shared" si="55"/>
        <v>1-0.113042338133715i</v>
      </c>
      <c r="AH56" s="51">
        <f t="shared" si="75"/>
        <v>1.0063690030057251</v>
      </c>
      <c r="AI56" s="51">
        <f t="shared" si="76"/>
        <v>-0.11256449006204425</v>
      </c>
      <c r="AJ56" s="51" t="str">
        <f t="shared" si="56"/>
        <v>1+0.00015072311751162i</v>
      </c>
      <c r="AK56" s="51">
        <f t="shared" si="77"/>
        <v>1.0000000113587291</v>
      </c>
      <c r="AL56" s="51">
        <f t="shared" si="78"/>
        <v>1.5072311637027132E-4</v>
      </c>
      <c r="AM56" s="51" t="e">
        <f t="shared" si="57"/>
        <v>#NUM!</v>
      </c>
      <c r="AN56" s="51" t="e">
        <f t="shared" si="79"/>
        <v>#NUM!</v>
      </c>
      <c r="AO56" s="51" t="e">
        <f t="shared" si="80"/>
        <v>#NUM!</v>
      </c>
      <c r="AP56" s="60" t="e">
        <f t="shared" si="81"/>
        <v>#NUM!</v>
      </c>
      <c r="AQ56" s="51" t="e">
        <f t="shared" si="82"/>
        <v>#NUM!</v>
      </c>
      <c r="AR56" s="63" t="e">
        <f t="shared" si="83"/>
        <v>#NUM!</v>
      </c>
      <c r="AS56" s="32" t="str">
        <f t="shared" si="58"/>
        <v>-0.000170731707317073</v>
      </c>
      <c r="AT56" s="32" t="str">
        <f t="shared" si="59"/>
        <v>5.72747846544155E-06i</v>
      </c>
      <c r="AU56" s="32">
        <f t="shared" si="84"/>
        <v>5.7274784654415497E-6</v>
      </c>
      <c r="AV56" s="32">
        <f t="shared" si="85"/>
        <v>1.5707963267948966</v>
      </c>
      <c r="AW56" s="32" t="str">
        <f t="shared" si="60"/>
        <v>1+0.00121942934862559i</v>
      </c>
      <c r="AX56" s="32">
        <f t="shared" si="86"/>
        <v>1.0000007435036917</v>
      </c>
      <c r="AY56" s="32">
        <f t="shared" si="87"/>
        <v>1.2194287441924228E-3</v>
      </c>
      <c r="AZ56" s="32" t="str">
        <f t="shared" si="61"/>
        <v>1+0.0231691576238862i</v>
      </c>
      <c r="BA56" s="32">
        <f t="shared" si="88"/>
        <v>1.0002683689215612</v>
      </c>
      <c r="BB56" s="32">
        <f t="shared" si="89"/>
        <v>2.3165013147889602E-2</v>
      </c>
      <c r="BC56" s="60" t="str">
        <f t="shared" si="90"/>
        <v>-0.654303465934817+29.8100251567481i</v>
      </c>
      <c r="BD56" s="51">
        <f t="shared" si="91"/>
        <v>29.489338618507198</v>
      </c>
      <c r="BE56" s="63">
        <f t="shared" si="92"/>
        <v>91.257389365279963</v>
      </c>
      <c r="BF56" s="60" t="str">
        <f t="shared" si="93"/>
        <v>40.854989409455+691.387300578192i</v>
      </c>
      <c r="BG56" s="66">
        <f t="shared" si="94"/>
        <v>56.809566175135572</v>
      </c>
      <c r="BH56" s="63">
        <f t="shared" si="95"/>
        <v>86.618249116259008</v>
      </c>
      <c r="BI56" s="60" t="e">
        <f t="shared" si="101"/>
        <v>#NUM!</v>
      </c>
      <c r="BJ56" s="66" t="e">
        <f t="shared" si="97"/>
        <v>#NUM!</v>
      </c>
      <c r="BK56" s="63" t="e">
        <f t="shared" si="102"/>
        <v>#NUM!</v>
      </c>
      <c r="BL56" s="51">
        <f t="shared" si="99"/>
        <v>56.809566175135572</v>
      </c>
      <c r="BM56" s="63">
        <f t="shared" si="100"/>
        <v>86.618249116259008</v>
      </c>
    </row>
    <row r="57" spans="1:65" x14ac:dyDescent="0.3">
      <c r="N57" s="11">
        <v>39</v>
      </c>
      <c r="O57" s="52">
        <f t="shared" si="62"/>
        <v>24.547089156850316</v>
      </c>
      <c r="P57" s="50" t="str">
        <f t="shared" si="50"/>
        <v>23.3035714285714</v>
      </c>
      <c r="Q57" s="18" t="str">
        <f t="shared" si="51"/>
        <v>1+0.082625308888044i</v>
      </c>
      <c r="R57" s="18">
        <f t="shared" si="63"/>
        <v>1.0034076647449155</v>
      </c>
      <c r="S57" s="18">
        <f t="shared" si="64"/>
        <v>8.2438049283180215E-2</v>
      </c>
      <c r="T57" s="18" t="str">
        <f t="shared" si="52"/>
        <v>1+0.000154233909924349i</v>
      </c>
      <c r="U57" s="18">
        <f t="shared" si="65"/>
        <v>1.0000000118940495</v>
      </c>
      <c r="V57" s="18">
        <f t="shared" si="66"/>
        <v>1.5423390870137184E-4</v>
      </c>
      <c r="W57" s="32" t="str">
        <f t="shared" si="53"/>
        <v>1-0.00037701622425952i</v>
      </c>
      <c r="X57" s="18">
        <f t="shared" si="67"/>
        <v>1.0000000710706143</v>
      </c>
      <c r="Y57" s="18">
        <f t="shared" si="68"/>
        <v>-3.7701620639633783E-4</v>
      </c>
      <c r="Z57" s="32" t="str">
        <f t="shared" si="54"/>
        <v>0.999999997589762+0.00018503827758399i</v>
      </c>
      <c r="AA57" s="18">
        <f t="shared" si="69"/>
        <v>1.000000014709344</v>
      </c>
      <c r="AB57" s="18">
        <f t="shared" si="70"/>
        <v>1.8503827591812434E-4</v>
      </c>
      <c r="AC57" s="68" t="str">
        <f t="shared" si="71"/>
        <v>23.1447777891758-1.92184809022826i</v>
      </c>
      <c r="AD57" s="66">
        <f t="shared" si="72"/>
        <v>27.318902003098913</v>
      </c>
      <c r="AE57" s="63">
        <f t="shared" si="73"/>
        <v>-4.7467186928843361</v>
      </c>
      <c r="AF57" s="51" t="e">
        <f t="shared" si="74"/>
        <v>#NUM!</v>
      </c>
      <c r="AG57" s="51" t="str">
        <f t="shared" si="55"/>
        <v>1-0.115675432443262i</v>
      </c>
      <c r="AH57" s="51">
        <f t="shared" si="75"/>
        <v>1.0066681705859859</v>
      </c>
      <c r="AI57" s="51">
        <f t="shared" si="76"/>
        <v>-0.115163592010069</v>
      </c>
      <c r="AJ57" s="51" t="str">
        <f t="shared" si="56"/>
        <v>1+0.000154233909924349i</v>
      </c>
      <c r="AK57" s="51">
        <f t="shared" si="77"/>
        <v>1.0000000118940495</v>
      </c>
      <c r="AL57" s="51">
        <f t="shared" si="78"/>
        <v>1.5423390870137184E-4</v>
      </c>
      <c r="AM57" s="51" t="e">
        <f t="shared" si="57"/>
        <v>#NUM!</v>
      </c>
      <c r="AN57" s="51" t="e">
        <f t="shared" si="79"/>
        <v>#NUM!</v>
      </c>
      <c r="AO57" s="51" t="e">
        <f t="shared" si="80"/>
        <v>#NUM!</v>
      </c>
      <c r="AP57" s="60" t="e">
        <f t="shared" si="81"/>
        <v>#NUM!</v>
      </c>
      <c r="AQ57" s="51" t="e">
        <f t="shared" si="82"/>
        <v>#NUM!</v>
      </c>
      <c r="AR57" s="63" t="e">
        <f t="shared" si="83"/>
        <v>#NUM!</v>
      </c>
      <c r="AS57" s="32" t="str">
        <f t="shared" si="58"/>
        <v>-0.000170731707317073</v>
      </c>
      <c r="AT57" s="32" t="str">
        <f t="shared" si="59"/>
        <v>5.86088857712527E-06i</v>
      </c>
      <c r="AU57" s="32">
        <f t="shared" si="84"/>
        <v>5.8608885771252699E-6</v>
      </c>
      <c r="AV57" s="32">
        <f t="shared" si="85"/>
        <v>1.5707963267948966</v>
      </c>
      <c r="AW57" s="32" t="str">
        <f t="shared" si="60"/>
        <v>1+0.00124783350703005i</v>
      </c>
      <c r="AX57" s="32">
        <f t="shared" si="86"/>
        <v>1.0000007785439275</v>
      </c>
      <c r="AY57" s="32">
        <f t="shared" si="87"/>
        <v>1.2478328593682698E-3</v>
      </c>
      <c r="AZ57" s="32" t="str">
        <f t="shared" si="61"/>
        <v>1+0.0237088366335709i</v>
      </c>
      <c r="BA57" s="32">
        <f t="shared" si="88"/>
        <v>1.0002810149825485</v>
      </c>
      <c r="BB57" s="32">
        <f t="shared" si="89"/>
        <v>2.3704395814909438E-2</v>
      </c>
      <c r="BC57" s="60" t="str">
        <f t="shared" si="90"/>
        <v>-0.654303420080956+29.1315028875797i</v>
      </c>
      <c r="BD57" s="51">
        <f t="shared" si="91"/>
        <v>29.289448126277364</v>
      </c>
      <c r="BE57" s="63">
        <f t="shared" si="92"/>
        <v>91.28666627972234</v>
      </c>
      <c r="BF57" s="60" t="str">
        <f t="shared" si="93"/>
        <v>40.8426159255026+675.499632776078i</v>
      </c>
      <c r="BG57" s="66">
        <f t="shared" si="94"/>
        <v>56.608350129376277</v>
      </c>
      <c r="BH57" s="63">
        <f t="shared" si="95"/>
        <v>86.539947586838011</v>
      </c>
      <c r="BI57" s="60" t="e">
        <f t="shared" si="101"/>
        <v>#NUM!</v>
      </c>
      <c r="BJ57" s="66" t="e">
        <f t="shared" si="97"/>
        <v>#NUM!</v>
      </c>
      <c r="BK57" s="63" t="e">
        <f t="shared" si="102"/>
        <v>#NUM!</v>
      </c>
      <c r="BL57" s="51">
        <f t="shared" si="99"/>
        <v>56.608350129376277</v>
      </c>
      <c r="BM57" s="63">
        <f t="shared" si="100"/>
        <v>86.539947586838011</v>
      </c>
    </row>
    <row r="58" spans="1:65" x14ac:dyDescent="0.3">
      <c r="A58" t="s">
        <v>225</v>
      </c>
      <c r="B58" s="1">
        <f>-(RFBB*gm_ea)/(RFBB+RFBT)</f>
        <v>-1.7073170731707316E-4</v>
      </c>
      <c r="C58" t="s">
        <v>147</v>
      </c>
      <c r="N58" s="11">
        <v>40</v>
      </c>
      <c r="O58" s="52">
        <f t="shared" si="62"/>
        <v>25.118864315095799</v>
      </c>
      <c r="P58" s="50" t="str">
        <f t="shared" si="50"/>
        <v>23.3035714285714</v>
      </c>
      <c r="Q58" s="18" t="str">
        <f t="shared" si="51"/>
        <v>1+0.0845498995701684i</v>
      </c>
      <c r="R58" s="18">
        <f t="shared" si="63"/>
        <v>1.0035679775268467</v>
      </c>
      <c r="S58" s="18">
        <f t="shared" si="64"/>
        <v>8.434928579707214E-2</v>
      </c>
      <c r="T58" s="18" t="str">
        <f t="shared" si="52"/>
        <v>1+0.000157826479197648i</v>
      </c>
      <c r="U58" s="18">
        <f t="shared" si="65"/>
        <v>1.0000000124545987</v>
      </c>
      <c r="V58" s="18">
        <f t="shared" si="66"/>
        <v>1.5782647788720435E-4</v>
      </c>
      <c r="W58" s="32" t="str">
        <f t="shared" si="53"/>
        <v>1-0.000385798060260917i</v>
      </c>
      <c r="X58" s="18">
        <f t="shared" si="67"/>
        <v>1.000000074420069</v>
      </c>
      <c r="Y58" s="18">
        <f t="shared" si="68"/>
        <v>-3.857980411201725E-4</v>
      </c>
      <c r="Z58" s="32" t="str">
        <f t="shared" si="54"/>
        <v>0.999999997476171+0.000189348372755398i</v>
      </c>
      <c r="AA58" s="18">
        <f t="shared" si="69"/>
        <v>1.0000000154025739</v>
      </c>
      <c r="AB58" s="18">
        <f t="shared" si="70"/>
        <v>1.8934837097039076E-4</v>
      </c>
      <c r="AC58" s="68" t="str">
        <f t="shared" si="71"/>
        <v>23.137347194496-1.96598542692282i</v>
      </c>
      <c r="AD58" s="66">
        <f t="shared" si="72"/>
        <v>27.317514411673184</v>
      </c>
      <c r="AE58" s="63">
        <f t="shared" si="73"/>
        <v>-4.8567687520515426</v>
      </c>
      <c r="AF58" s="51" t="e">
        <f t="shared" si="74"/>
        <v>#NUM!</v>
      </c>
      <c r="AG58" s="51" t="str">
        <f t="shared" si="55"/>
        <v>1-0.118369859398236i</v>
      </c>
      <c r="AH58" s="51">
        <f t="shared" si="75"/>
        <v>1.0069813422372622</v>
      </c>
      <c r="AI58" s="51">
        <f t="shared" si="76"/>
        <v>-0.11782161764431409</v>
      </c>
      <c r="AJ58" s="51" t="str">
        <f t="shared" si="56"/>
        <v>1+0.000157826479197648i</v>
      </c>
      <c r="AK58" s="51">
        <f t="shared" si="77"/>
        <v>1.0000000124545987</v>
      </c>
      <c r="AL58" s="51">
        <f t="shared" si="78"/>
        <v>1.5782647788720435E-4</v>
      </c>
      <c r="AM58" s="51" t="e">
        <f t="shared" si="57"/>
        <v>#NUM!</v>
      </c>
      <c r="AN58" s="51" t="e">
        <f t="shared" si="79"/>
        <v>#NUM!</v>
      </c>
      <c r="AO58" s="51" t="e">
        <f t="shared" si="80"/>
        <v>#NUM!</v>
      </c>
      <c r="AP58" s="60" t="e">
        <f t="shared" si="81"/>
        <v>#NUM!</v>
      </c>
      <c r="AQ58" s="51" t="e">
        <f t="shared" si="82"/>
        <v>#NUM!</v>
      </c>
      <c r="AR58" s="63" t="e">
        <f t="shared" si="83"/>
        <v>#NUM!</v>
      </c>
      <c r="AS58" s="32" t="str">
        <f t="shared" si="58"/>
        <v>-0.000170731707317073</v>
      </c>
      <c r="AT58" s="32" t="str">
        <f t="shared" si="59"/>
        <v>5.99740620951061E-06i</v>
      </c>
      <c r="AU58" s="32">
        <f t="shared" si="84"/>
        <v>5.9974062095106096E-6</v>
      </c>
      <c r="AV58" s="32">
        <f t="shared" si="85"/>
        <v>1.5707963267948966</v>
      </c>
      <c r="AW58" s="32" t="str">
        <f t="shared" si="60"/>
        <v>1+0.00127689928327697i</v>
      </c>
      <c r="AX58" s="32">
        <f t="shared" si="86"/>
        <v>1.0000008152355575</v>
      </c>
      <c r="AY58" s="32">
        <f t="shared" si="87"/>
        <v>1.2768985892949E-3</v>
      </c>
      <c r="AZ58" s="32" t="str">
        <f t="shared" si="61"/>
        <v>1+0.0242610863822625i</v>
      </c>
      <c r="BA58" s="32">
        <f t="shared" si="88"/>
        <v>1.0002942568626731</v>
      </c>
      <c r="BB58" s="32">
        <f t="shared" si="89"/>
        <v>2.4256328034933355E-2</v>
      </c>
      <c r="BC58" s="60" t="str">
        <f t="shared" si="90"/>
        <v>-0.654303372066083+28.4684265268381i</v>
      </c>
      <c r="BD58" s="51">
        <f t="shared" si="91"/>
        <v>29.089562792013893</v>
      </c>
      <c r="BE58" s="63">
        <f t="shared" si="92"/>
        <v>91.316624322853727</v>
      </c>
      <c r="BF58" s="60" t="str">
        <f t="shared" si="93"/>
        <v>40.8296673891643+659.970219526722i</v>
      </c>
      <c r="BG58" s="66">
        <f t="shared" si="94"/>
        <v>56.407077203687088</v>
      </c>
      <c r="BH58" s="63">
        <f t="shared" si="95"/>
        <v>86.459855570802191</v>
      </c>
      <c r="BI58" s="60" t="e">
        <f t="shared" si="101"/>
        <v>#NUM!</v>
      </c>
      <c r="BJ58" s="66" t="e">
        <f t="shared" si="97"/>
        <v>#NUM!</v>
      </c>
      <c r="BK58" s="63" t="e">
        <f t="shared" si="102"/>
        <v>#NUM!</v>
      </c>
      <c r="BL58" s="51">
        <f t="shared" si="99"/>
        <v>56.407077203687088</v>
      </c>
      <c r="BM58" s="63">
        <f t="shared" si="100"/>
        <v>86.459855570802191</v>
      </c>
    </row>
    <row r="59" spans="1:65" x14ac:dyDescent="0.3">
      <c r="A59" t="s">
        <v>224</v>
      </c>
      <c r="B59" s="1">
        <f>1/(RCOMP*CCOMP)</f>
        <v>6505.334374186833</v>
      </c>
      <c r="E59" t="s">
        <v>238</v>
      </c>
      <c r="N59" s="11">
        <v>41</v>
      </c>
      <c r="O59" s="52">
        <f t="shared" si="62"/>
        <v>25.703957827688647</v>
      </c>
      <c r="P59" s="50" t="str">
        <f t="shared" si="50"/>
        <v>23.3035714285714</v>
      </c>
      <c r="Q59" s="18" t="str">
        <f t="shared" si="51"/>
        <v>1+0.0865193197281947i</v>
      </c>
      <c r="R59" s="18">
        <f t="shared" si="63"/>
        <v>1.0037358181743987</v>
      </c>
      <c r="S59" s="18">
        <f t="shared" si="64"/>
        <v>8.6304401384600465E-2</v>
      </c>
      <c r="T59" s="18" t="str">
        <f t="shared" si="52"/>
        <v>1+0.000161502730159297i</v>
      </c>
      <c r="U59" s="18">
        <f t="shared" si="65"/>
        <v>1.0000000130415658</v>
      </c>
      <c r="V59" s="18">
        <f t="shared" si="66"/>
        <v>1.6150272875513135E-4</v>
      </c>
      <c r="W59" s="32" t="str">
        <f t="shared" si="53"/>
        <v>1-0.000394784451500504i</v>
      </c>
      <c r="X59" s="18">
        <f t="shared" si="67"/>
        <v>1.0000000779273786</v>
      </c>
      <c r="Y59" s="18">
        <f t="shared" si="68"/>
        <v>-3.9478443099082687E-4</v>
      </c>
      <c r="Z59" s="32" t="str">
        <f t="shared" si="54"/>
        <v>0.999999997357226+0.000193758862940363i</v>
      </c>
      <c r="AA59" s="18">
        <f t="shared" si="69"/>
        <v>1.0000000161284743</v>
      </c>
      <c r="AB59" s="18">
        <f t="shared" si="70"/>
        <v>1.9375886102769341E-4</v>
      </c>
      <c r="AC59" s="68" t="str">
        <f t="shared" si="71"/>
        <v>23.1295714934245-2.01110636192695i</v>
      </c>
      <c r="AD59" s="66">
        <f t="shared" si="72"/>
        <v>27.316061900116413</v>
      </c>
      <c r="AE59" s="63">
        <f t="shared" si="73"/>
        <v>-4.9693455746965061</v>
      </c>
      <c r="AF59" s="51" t="e">
        <f t="shared" si="74"/>
        <v>#NUM!</v>
      </c>
      <c r="AG59" s="51" t="str">
        <f t="shared" si="55"/>
        <v>1-0.121127047619473i</v>
      </c>
      <c r="AH59" s="51">
        <f t="shared" si="75"/>
        <v>1.0073091688578091</v>
      </c>
      <c r="AI59" s="51">
        <f t="shared" si="76"/>
        <v>-0.12053982597041461</v>
      </c>
      <c r="AJ59" s="51" t="str">
        <f t="shared" si="56"/>
        <v>1+0.000161502730159297i</v>
      </c>
      <c r="AK59" s="51">
        <f t="shared" si="77"/>
        <v>1.0000000130415658</v>
      </c>
      <c r="AL59" s="51">
        <f t="shared" si="78"/>
        <v>1.6150272875513135E-4</v>
      </c>
      <c r="AM59" s="51" t="e">
        <f t="shared" si="57"/>
        <v>#NUM!</v>
      </c>
      <c r="AN59" s="51" t="e">
        <f t="shared" si="79"/>
        <v>#NUM!</v>
      </c>
      <c r="AO59" s="51" t="e">
        <f t="shared" si="80"/>
        <v>#NUM!</v>
      </c>
      <c r="AP59" s="60" t="e">
        <f t="shared" si="81"/>
        <v>#NUM!</v>
      </c>
      <c r="AQ59" s="51" t="e">
        <f t="shared" si="82"/>
        <v>#NUM!</v>
      </c>
      <c r="AR59" s="63" t="e">
        <f t="shared" si="83"/>
        <v>#NUM!</v>
      </c>
      <c r="AS59" s="32" t="str">
        <f t="shared" si="58"/>
        <v>-0.000170731707317073</v>
      </c>
      <c r="AT59" s="32" t="str">
        <f t="shared" si="59"/>
        <v>6.13710374605329E-06i</v>
      </c>
      <c r="AU59" s="32">
        <f t="shared" si="84"/>
        <v>6.1371037460532901E-6</v>
      </c>
      <c r="AV59" s="32">
        <f t="shared" si="85"/>
        <v>1.5707963267948966</v>
      </c>
      <c r="AW59" s="32" t="str">
        <f t="shared" si="60"/>
        <v>1+0.00130664208842564i</v>
      </c>
      <c r="AX59" s="32">
        <f t="shared" si="86"/>
        <v>1.0000008536564093</v>
      </c>
      <c r="AY59" s="32">
        <f t="shared" si="87"/>
        <v>1.3066413448104889E-3</v>
      </c>
      <c r="AZ59" s="32" t="str">
        <f t="shared" si="61"/>
        <v>1+0.0248261996800871i</v>
      </c>
      <c r="BA59" s="32">
        <f t="shared" si="88"/>
        <v>1.0003081226255015</v>
      </c>
      <c r="BB59" s="32">
        <f t="shared" si="89"/>
        <v>2.4821101103881592E-2</v>
      </c>
      <c r="BC59" s="60" t="str">
        <f t="shared" si="90"/>
        <v>-0.654303321788338+27.8204445026592i</v>
      </c>
      <c r="BD59" s="51">
        <f t="shared" si="91"/>
        <v>28.889682858517208</v>
      </c>
      <c r="BE59" s="63">
        <f t="shared" si="92"/>
        <v>91.347279301724996</v>
      </c>
      <c r="BF59" s="60" t="str">
        <f t="shared" si="93"/>
        <v>40.8161174712451+644.790833676183i</v>
      </c>
      <c r="BG59" s="66">
        <f t="shared" si="94"/>
        <v>56.205744758633628</v>
      </c>
      <c r="BH59" s="63">
        <f t="shared" si="95"/>
        <v>86.377933727028477</v>
      </c>
      <c r="BI59" s="60" t="e">
        <f t="shared" si="101"/>
        <v>#NUM!</v>
      </c>
      <c r="BJ59" s="66" t="e">
        <f t="shared" si="97"/>
        <v>#NUM!</v>
      </c>
      <c r="BK59" s="63" t="e">
        <f t="shared" si="102"/>
        <v>#NUM!</v>
      </c>
      <c r="BL59" s="51">
        <f t="shared" si="99"/>
        <v>56.205744758633628</v>
      </c>
      <c r="BM59" s="63">
        <f t="shared" si="100"/>
        <v>86.377933727028477</v>
      </c>
    </row>
    <row r="60" spans="1:65" x14ac:dyDescent="0.3">
      <c r="A60" t="s">
        <v>229</v>
      </c>
      <c r="B60" s="1">
        <f>(CCOMP+CHF)</f>
        <v>3.8000000000000003E-8</v>
      </c>
      <c r="E60" t="s">
        <v>239</v>
      </c>
      <c r="N60" s="11">
        <v>42</v>
      </c>
      <c r="O60" s="52">
        <f t="shared" si="62"/>
        <v>26.302679918953825</v>
      </c>
      <c r="P60" s="50" t="str">
        <f t="shared" si="50"/>
        <v>23.3035714285714</v>
      </c>
      <c r="Q60" s="18" t="str">
        <f t="shared" si="51"/>
        <v>1+0.0885346135747595i</v>
      </c>
      <c r="R60" s="18">
        <f t="shared" si="63"/>
        <v>1.0039115388323974</v>
      </c>
      <c r="S60" s="18">
        <f t="shared" si="64"/>
        <v>8.8304372853650767E-2</v>
      </c>
      <c r="T60" s="18" t="str">
        <f t="shared" si="52"/>
        <v>1+0.000165264612006218i</v>
      </c>
      <c r="U60" s="18">
        <f t="shared" si="65"/>
        <v>1.000000013656196</v>
      </c>
      <c r="V60" s="18">
        <f t="shared" si="66"/>
        <v>1.6526461050162742E-4</v>
      </c>
      <c r="W60" s="32" t="str">
        <f t="shared" si="53"/>
        <v>1-0.000403980162681866i</v>
      </c>
      <c r="X60" s="18">
        <f t="shared" si="67"/>
        <v>1.0000000815999825</v>
      </c>
      <c r="Y60" s="18">
        <f t="shared" si="68"/>
        <v>-4.0398014070535109E-4</v>
      </c>
      <c r="Z60" s="32" t="str">
        <f t="shared" si="54"/>
        <v>0.999999997232676+0.00019827208663916i</v>
      </c>
      <c r="AA60" s="18">
        <f t="shared" si="69"/>
        <v>1.0000000168885859</v>
      </c>
      <c r="AB60" s="18">
        <f t="shared" si="70"/>
        <v>1.9827208458969759E-4</v>
      </c>
      <c r="AC60" s="68" t="str">
        <f t="shared" si="71"/>
        <v>23.1214349067605-2.05723067733268i</v>
      </c>
      <c r="AD60" s="66">
        <f t="shared" si="72"/>
        <v>27.314541454319237</v>
      </c>
      <c r="AE60" s="63">
        <f t="shared" si="73"/>
        <v>-5.0845054230909321</v>
      </c>
      <c r="AF60" s="51" t="e">
        <f t="shared" si="74"/>
        <v>#NUM!</v>
      </c>
      <c r="AG60" s="51" t="str">
        <f t="shared" si="55"/>
        <v>1-0.123948459004664i</v>
      </c>
      <c r="AH60" s="51">
        <f t="shared" si="75"/>
        <v>1.007652331158734</v>
      </c>
      <c r="AI60" s="51">
        <f t="shared" si="76"/>
        <v>-0.12331949746077914</v>
      </c>
      <c r="AJ60" s="51" t="str">
        <f t="shared" si="56"/>
        <v>1+0.000165264612006218i</v>
      </c>
      <c r="AK60" s="51">
        <f t="shared" si="77"/>
        <v>1.000000013656196</v>
      </c>
      <c r="AL60" s="51">
        <f t="shared" si="78"/>
        <v>1.6526461050162742E-4</v>
      </c>
      <c r="AM60" s="51" t="e">
        <f t="shared" si="57"/>
        <v>#NUM!</v>
      </c>
      <c r="AN60" s="51" t="e">
        <f t="shared" si="79"/>
        <v>#NUM!</v>
      </c>
      <c r="AO60" s="51" t="e">
        <f t="shared" si="80"/>
        <v>#NUM!</v>
      </c>
      <c r="AP60" s="60" t="e">
        <f t="shared" si="81"/>
        <v>#NUM!</v>
      </c>
      <c r="AQ60" s="51" t="e">
        <f t="shared" si="82"/>
        <v>#NUM!</v>
      </c>
      <c r="AR60" s="63" t="e">
        <f t="shared" si="83"/>
        <v>#NUM!</v>
      </c>
      <c r="AS60" s="32" t="str">
        <f t="shared" si="58"/>
        <v>-0.000170731707317073</v>
      </c>
      <c r="AT60" s="32" t="str">
        <f t="shared" si="59"/>
        <v>6.28005525623629E-06i</v>
      </c>
      <c r="AU60" s="32">
        <f t="shared" si="84"/>
        <v>6.2800552562362897E-6</v>
      </c>
      <c r="AV60" s="32">
        <f t="shared" si="85"/>
        <v>1.5707963267948966</v>
      </c>
      <c r="AW60" s="32" t="str">
        <f t="shared" si="60"/>
        <v>1+0.00133707769250504i</v>
      </c>
      <c r="AX60" s="32">
        <f t="shared" si="86"/>
        <v>1.0000008938879783</v>
      </c>
      <c r="AY60" s="32">
        <f t="shared" si="87"/>
        <v>1.3370768957070881E-3</v>
      </c>
      <c r="AZ60" s="32" t="str">
        <f t="shared" si="61"/>
        <v>1+0.0254044761575958i</v>
      </c>
      <c r="BA60" s="32">
        <f t="shared" si="88"/>
        <v>1.0003226416556019</v>
      </c>
      <c r="BB60" s="32">
        <f t="shared" si="89"/>
        <v>2.5399013029926656E-2</v>
      </c>
      <c r="BC60" s="60" t="str">
        <f t="shared" si="90"/>
        <v>-0.654303269141087+27.1872132463968i</v>
      </c>
      <c r="BD60" s="51">
        <f t="shared" si="91"/>
        <v>28.689808580003163</v>
      </c>
      <c r="BE60" s="63">
        <f t="shared" si="92"/>
        <v>91.378647387404115</v>
      </c>
      <c r="BF60" s="60" t="str">
        <f t="shared" si="93"/>
        <v>40.8019386749467+629.953434130337i</v>
      </c>
      <c r="BG60" s="66">
        <f t="shared" si="94"/>
        <v>56.0043500343224</v>
      </c>
      <c r="BH60" s="63">
        <f t="shared" si="95"/>
        <v>86.294141964313184</v>
      </c>
      <c r="BI60" s="60" t="e">
        <f t="shared" si="101"/>
        <v>#NUM!</v>
      </c>
      <c r="BJ60" s="66" t="e">
        <f t="shared" si="97"/>
        <v>#NUM!</v>
      </c>
      <c r="BK60" s="63" t="e">
        <f t="shared" si="102"/>
        <v>#NUM!</v>
      </c>
      <c r="BL60" s="51">
        <f t="shared" si="99"/>
        <v>56.0043500343224</v>
      </c>
      <c r="BM60" s="63">
        <f t="shared" si="100"/>
        <v>86.294141964313184</v>
      </c>
    </row>
    <row r="61" spans="1:65" x14ac:dyDescent="0.3">
      <c r="A61" s="32" t="s">
        <v>230</v>
      </c>
      <c r="B61" s="1">
        <f>(CCOMP+CHF)/(RCOMP*CHF*CCOMP)</f>
        <v>123601.3531095498</v>
      </c>
      <c r="E61" s="32" t="s">
        <v>240</v>
      </c>
      <c r="N61" s="11">
        <v>43</v>
      </c>
      <c r="O61" s="52">
        <f t="shared" si="62"/>
        <v>26.915348039269158</v>
      </c>
      <c r="P61" s="50" t="str">
        <f t="shared" si="50"/>
        <v>23.3035714285714</v>
      </c>
      <c r="Q61" s="18" t="str">
        <f t="shared" si="51"/>
        <v>1+0.0905968496453361i</v>
      </c>
      <c r="R61" s="18">
        <f t="shared" si="63"/>
        <v>1.0040955079899818</v>
      </c>
      <c r="S61" s="18">
        <f t="shared" si="64"/>
        <v>9.035019658282234E-2</v>
      </c>
      <c r="T61" s="18" t="str">
        <f t="shared" si="52"/>
        <v>1+0.000169114119337961i</v>
      </c>
      <c r="U61" s="18">
        <f t="shared" si="65"/>
        <v>1.0000000142997927</v>
      </c>
      <c r="V61" s="18">
        <f t="shared" si="66"/>
        <v>1.6911411772576313E-4</v>
      </c>
      <c r="W61" s="32" t="str">
        <f t="shared" si="53"/>
        <v>1-0.000413390069492794i</v>
      </c>
      <c r="X61" s="18">
        <f t="shared" si="67"/>
        <v>1.0000000854456712</v>
      </c>
      <c r="Y61" s="18">
        <f t="shared" si="68"/>
        <v>-4.1339004594453412E-4</v>
      </c>
      <c r="Z61" s="32" t="str">
        <f t="shared" si="54"/>
        <v>0.999999997102256+0.000202890436822735i</v>
      </c>
      <c r="AA61" s="18">
        <f t="shared" si="69"/>
        <v>1.0000000176845205</v>
      </c>
      <c r="AB61" s="18">
        <f t="shared" si="70"/>
        <v>2.0289043462669648E-4</v>
      </c>
      <c r="AC61" s="68" t="str">
        <f t="shared" si="71"/>
        <v>23.1129209576401-2.10437839864873i</v>
      </c>
      <c r="AD61" s="66">
        <f t="shared" si="72"/>
        <v>27.312949922458717</v>
      </c>
      <c r="AE61" s="63">
        <f t="shared" si="73"/>
        <v>-5.2023056877043077</v>
      </c>
      <c r="AF61" s="51" t="e">
        <f t="shared" si="74"/>
        <v>#NUM!</v>
      </c>
      <c r="AG61" s="51" t="str">
        <f t="shared" si="55"/>
        <v>1-0.126835589503471i</v>
      </c>
      <c r="AH61" s="51">
        <f t="shared" si="75"/>
        <v>1.0080115409878465</v>
      </c>
      <c r="AI61" s="51">
        <f t="shared" si="76"/>
        <v>-0.12616193402326778</v>
      </c>
      <c r="AJ61" s="51" t="str">
        <f t="shared" si="56"/>
        <v>1+0.000169114119337961i</v>
      </c>
      <c r="AK61" s="51">
        <f t="shared" si="77"/>
        <v>1.0000000142997927</v>
      </c>
      <c r="AL61" s="51">
        <f t="shared" si="78"/>
        <v>1.6911411772576313E-4</v>
      </c>
      <c r="AM61" s="51" t="e">
        <f t="shared" si="57"/>
        <v>#NUM!</v>
      </c>
      <c r="AN61" s="51" t="e">
        <f t="shared" si="79"/>
        <v>#NUM!</v>
      </c>
      <c r="AO61" s="51" t="e">
        <f t="shared" si="80"/>
        <v>#NUM!</v>
      </c>
      <c r="AP61" s="60" t="e">
        <f t="shared" si="81"/>
        <v>#NUM!</v>
      </c>
      <c r="AQ61" s="51" t="e">
        <f t="shared" si="82"/>
        <v>#NUM!</v>
      </c>
      <c r="AR61" s="63" t="e">
        <f t="shared" si="83"/>
        <v>#NUM!</v>
      </c>
      <c r="AS61" s="32" t="str">
        <f t="shared" si="58"/>
        <v>-0.000170731707317073</v>
      </c>
      <c r="AT61" s="32" t="str">
        <f t="shared" si="59"/>
        <v>6.42633653484251E-06i</v>
      </c>
      <c r="AU61" s="32">
        <f t="shared" si="84"/>
        <v>6.4263365348425102E-6</v>
      </c>
      <c r="AV61" s="32">
        <f t="shared" si="85"/>
        <v>1.5707963267948966</v>
      </c>
      <c r="AW61" s="32" t="str">
        <f t="shared" si="60"/>
        <v>1+0.00136822223287533i</v>
      </c>
      <c r="AX61" s="32">
        <f t="shared" si="86"/>
        <v>1.0000009360156012</v>
      </c>
      <c r="AY61" s="32">
        <f t="shared" si="87"/>
        <v>1.3682213790909856E-3</v>
      </c>
      <c r="AZ61" s="32" t="str">
        <f t="shared" si="61"/>
        <v>1+0.0259962224246314i</v>
      </c>
      <c r="BA61" s="32">
        <f t="shared" si="88"/>
        <v>1.0003378447206479</v>
      </c>
      <c r="BB61" s="32">
        <f t="shared" si="89"/>
        <v>2.5990368684638485E-2</v>
      </c>
      <c r="BC61" s="60" t="str">
        <f t="shared" si="90"/>
        <v>-0.65430321401266+26.5683970104563i</v>
      </c>
      <c r="BD61" s="51">
        <f t="shared" si="91"/>
        <v>28.48994022263787</v>
      </c>
      <c r="BE61" s="63">
        <f t="shared" si="92"/>
        <v>91.410745123157284</v>
      </c>
      <c r="BF61" s="60" t="str">
        <f t="shared" si="93"/>
        <v>40.7871022877233+615.450161623613i</v>
      </c>
      <c r="BG61" s="66">
        <f t="shared" si="94"/>
        <v>55.80289014509659</v>
      </c>
      <c r="BH61" s="63">
        <f t="shared" si="95"/>
        <v>86.208439435452973</v>
      </c>
      <c r="BI61" s="60" t="e">
        <f t="shared" si="101"/>
        <v>#NUM!</v>
      </c>
      <c r="BJ61" s="66" t="e">
        <f t="shared" si="97"/>
        <v>#NUM!</v>
      </c>
      <c r="BK61" s="63" t="e">
        <f t="shared" si="102"/>
        <v>#NUM!</v>
      </c>
      <c r="BL61" s="51">
        <f t="shared" si="99"/>
        <v>55.80289014509659</v>
      </c>
      <c r="BM61" s="63">
        <f t="shared" si="100"/>
        <v>86.208439435452973</v>
      </c>
    </row>
    <row r="62" spans="1:65" x14ac:dyDescent="0.3">
      <c r="N62" s="11">
        <v>44</v>
      </c>
      <c r="O62" s="52">
        <f t="shared" si="62"/>
        <v>27.542287033381665</v>
      </c>
      <c r="P62" s="50" t="str">
        <f t="shared" si="50"/>
        <v>23.3035714285714</v>
      </c>
      <c r="Q62" s="18" t="str">
        <f t="shared" si="51"/>
        <v>1+0.0927071213647857i</v>
      </c>
      <c r="R62" s="18">
        <f t="shared" si="63"/>
        <v>1.0042881112269253</v>
      </c>
      <c r="S62" s="18">
        <f t="shared" si="64"/>
        <v>9.2442888756377933E-2</v>
      </c>
      <c r="T62" s="18" t="str">
        <f t="shared" si="52"/>
        <v>1+0.000173053293214267i</v>
      </c>
      <c r="U62" s="18">
        <f t="shared" si="65"/>
        <v>1.0000000149737209</v>
      </c>
      <c r="V62" s="18">
        <f t="shared" si="66"/>
        <v>1.7305329148676585E-4</v>
      </c>
      <c r="W62" s="32" t="str">
        <f t="shared" si="53"/>
        <v>1-0.000423019161190431i</v>
      </c>
      <c r="X62" s="18">
        <f t="shared" si="67"/>
        <v>1.0000000894726013</v>
      </c>
      <c r="Y62" s="18">
        <f t="shared" si="68"/>
        <v>-4.2301913595801607E-4</v>
      </c>
      <c r="Z62" s="32" t="str">
        <f t="shared" si="54"/>
        <v>0.99999999696569+0.000207616362201486i</v>
      </c>
      <c r="AA62" s="18">
        <f t="shared" si="69"/>
        <v>1.0000000185179667</v>
      </c>
      <c r="AB62" s="18">
        <f t="shared" si="70"/>
        <v>2.0761635984838824E-4</v>
      </c>
      <c r="AC62" s="68" t="str">
        <f t="shared" si="71"/>
        <v>23.1040124429725-2.15256978569114i</v>
      </c>
      <c r="AD62" s="66">
        <f t="shared" si="72"/>
        <v>27.311284008918673</v>
      </c>
      <c r="AE62" s="63">
        <f t="shared" si="73"/>
        <v>-5.3228049008256351</v>
      </c>
      <c r="AF62" s="51" t="e">
        <f t="shared" si="74"/>
        <v>#NUM!</v>
      </c>
      <c r="AG62" s="51" t="str">
        <f t="shared" si="55"/>
        <v>1-0.129789969910701i</v>
      </c>
      <c r="AH62" s="51">
        <f t="shared" si="75"/>
        <v>1.0083875427083679</v>
      </c>
      <c r="AI62" s="51">
        <f t="shared" si="76"/>
        <v>-0.12906845893475744</v>
      </c>
      <c r="AJ62" s="51" t="str">
        <f t="shared" si="56"/>
        <v>1+0.000173053293214267i</v>
      </c>
      <c r="AK62" s="51">
        <f t="shared" si="77"/>
        <v>1.0000000149737209</v>
      </c>
      <c r="AL62" s="51">
        <f t="shared" si="78"/>
        <v>1.7305329148676585E-4</v>
      </c>
      <c r="AM62" s="51" t="e">
        <f t="shared" si="57"/>
        <v>#NUM!</v>
      </c>
      <c r="AN62" s="51" t="e">
        <f t="shared" si="79"/>
        <v>#NUM!</v>
      </c>
      <c r="AO62" s="51" t="e">
        <f t="shared" si="80"/>
        <v>#NUM!</v>
      </c>
      <c r="AP62" s="60" t="e">
        <f t="shared" si="81"/>
        <v>#NUM!</v>
      </c>
      <c r="AQ62" s="51" t="e">
        <f t="shared" si="82"/>
        <v>#NUM!</v>
      </c>
      <c r="AR62" s="63" t="e">
        <f t="shared" si="83"/>
        <v>#NUM!</v>
      </c>
      <c r="AS62" s="32" t="str">
        <f t="shared" si="58"/>
        <v>-0.000170731707317073</v>
      </c>
      <c r="AT62" s="32" t="str">
        <f t="shared" si="59"/>
        <v>6.57602514214213E-06i</v>
      </c>
      <c r="AU62" s="32">
        <f t="shared" si="84"/>
        <v>6.5760251421421297E-6</v>
      </c>
      <c r="AV62" s="32">
        <f t="shared" si="85"/>
        <v>1.5707963267948966</v>
      </c>
      <c r="AW62" s="32" t="str">
        <f t="shared" si="60"/>
        <v>1+0.00140009222278406i</v>
      </c>
      <c r="AX62" s="32">
        <f t="shared" si="86"/>
        <v>1.0000009801286358</v>
      </c>
      <c r="AY62" s="32">
        <f t="shared" si="87"/>
        <v>1.4000913079377007E-3</v>
      </c>
      <c r="AZ62" s="32" t="str">
        <f t="shared" si="61"/>
        <v>1+0.0266017522328971i</v>
      </c>
      <c r="BA62" s="32">
        <f t="shared" si="88"/>
        <v>1.0003537640364335</v>
      </c>
      <c r="BB62" s="32">
        <f t="shared" si="89"/>
        <v>2.6595479957281176E-2</v>
      </c>
      <c r="BC62" s="60" t="str">
        <f t="shared" si="90"/>
        <v>-0.654303156286117+25.9636676902779i</v>
      </c>
      <c r="BD62" s="51">
        <f t="shared" si="91"/>
        <v>28.290078065098307</v>
      </c>
      <c r="BE62" s="63">
        <f t="shared" si="92"/>
        <v>91.4435894327992</v>
      </c>
      <c r="BF62" s="60" t="str">
        <f t="shared" si="93"/>
        <v>40.7715783315069+601.273334586288i</v>
      </c>
      <c r="BG62" s="66">
        <f t="shared" si="94"/>
        <v>55.601362074016983</v>
      </c>
      <c r="BH62" s="63">
        <f t="shared" si="95"/>
        <v>86.12078453197357</v>
      </c>
      <c r="BI62" s="60" t="e">
        <f t="shared" si="101"/>
        <v>#NUM!</v>
      </c>
      <c r="BJ62" s="66" t="e">
        <f t="shared" si="97"/>
        <v>#NUM!</v>
      </c>
      <c r="BK62" s="63" t="e">
        <f t="shared" si="102"/>
        <v>#NUM!</v>
      </c>
      <c r="BL62" s="51">
        <f t="shared" si="99"/>
        <v>55.601362074016983</v>
      </c>
      <c r="BM62" s="63">
        <f t="shared" si="100"/>
        <v>86.12078453197357</v>
      </c>
    </row>
    <row r="63" spans="1:65" x14ac:dyDescent="0.3">
      <c r="N63" s="11">
        <v>45</v>
      </c>
      <c r="O63" s="52">
        <f t="shared" si="62"/>
        <v>28.183829312644548</v>
      </c>
      <c r="P63" s="50" t="str">
        <f t="shared" si="50"/>
        <v>23.3035714285714</v>
      </c>
      <c r="Q63" s="18" t="str">
        <f t="shared" si="51"/>
        <v>1+0.0948665476271066i</v>
      </c>
      <c r="R63" s="18">
        <f t="shared" si="63"/>
        <v>1.0044897519928644</v>
      </c>
      <c r="S63" s="18">
        <f t="shared" si="64"/>
        <v>9.4583485589665714E-2</v>
      </c>
      <c r="T63" s="18" t="str">
        <f t="shared" si="52"/>
        <v>1+0.000177084222237266i</v>
      </c>
      <c r="U63" s="18">
        <f t="shared" si="65"/>
        <v>1.0000000156794107</v>
      </c>
      <c r="V63" s="18">
        <f t="shared" si="66"/>
        <v>1.7708422038621521E-4</v>
      </c>
      <c r="W63" s="32" t="str">
        <f t="shared" si="53"/>
        <v>1-0.00043287254324665i</v>
      </c>
      <c r="X63" s="18">
        <f t="shared" si="67"/>
        <v>1.000000093689315</v>
      </c>
      <c r="Y63" s="18">
        <f t="shared" si="68"/>
        <v>-4.3287251620963038E-4</v>
      </c>
      <c r="Z63" s="32" t="str">
        <f t="shared" si="54"/>
        <v>0.999999996822687+0.000212452368523604i</v>
      </c>
      <c r="AA63" s="18">
        <f t="shared" si="69"/>
        <v>1.0000000193906913</v>
      </c>
      <c r="AB63" s="18">
        <f t="shared" si="70"/>
        <v>2.1245236600221439E-4</v>
      </c>
      <c r="AC63" s="68" t="str">
        <f t="shared" si="71"/>
        <v>23.0946914039306-2.201825322296i</v>
      </c>
      <c r="AD63" s="66">
        <f t="shared" si="72"/>
        <v>27.309540267962575</v>
      </c>
      <c r="AE63" s="63">
        <f t="shared" si="73"/>
        <v>-5.4460627496432856</v>
      </c>
      <c r="AF63" s="51" t="e">
        <f t="shared" si="74"/>
        <v>#NUM!</v>
      </c>
      <c r="AG63" s="51" t="str">
        <f t="shared" si="55"/>
        <v>1-0.13281316667795i</v>
      </c>
      <c r="AH63" s="51">
        <f t="shared" si="75"/>
        <v>1.0087811146344012</v>
      </c>
      <c r="AI63" s="51">
        <f t="shared" si="76"/>
        <v>-0.13204041673672731</v>
      </c>
      <c r="AJ63" s="51" t="str">
        <f t="shared" si="56"/>
        <v>1+0.000177084222237266i</v>
      </c>
      <c r="AK63" s="51">
        <f t="shared" si="77"/>
        <v>1.0000000156794107</v>
      </c>
      <c r="AL63" s="51">
        <f t="shared" si="78"/>
        <v>1.7708422038621521E-4</v>
      </c>
      <c r="AM63" s="51" t="e">
        <f t="shared" si="57"/>
        <v>#NUM!</v>
      </c>
      <c r="AN63" s="51" t="e">
        <f t="shared" si="79"/>
        <v>#NUM!</v>
      </c>
      <c r="AO63" s="51" t="e">
        <f t="shared" si="80"/>
        <v>#NUM!</v>
      </c>
      <c r="AP63" s="60" t="e">
        <f t="shared" si="81"/>
        <v>#NUM!</v>
      </c>
      <c r="AQ63" s="51" t="e">
        <f t="shared" si="82"/>
        <v>#NUM!</v>
      </c>
      <c r="AR63" s="63" t="e">
        <f t="shared" si="83"/>
        <v>#NUM!</v>
      </c>
      <c r="AS63" s="32" t="str">
        <f t="shared" si="58"/>
        <v>-0.000170731707317073</v>
      </c>
      <c r="AT63" s="32" t="str">
        <f t="shared" si="59"/>
        <v>6.72920044501609E-06i</v>
      </c>
      <c r="AU63" s="32">
        <f t="shared" si="84"/>
        <v>6.7292004450160899E-6</v>
      </c>
      <c r="AV63" s="32">
        <f t="shared" si="85"/>
        <v>1.5707963267948966</v>
      </c>
      <c r="AW63" s="32" t="str">
        <f t="shared" si="60"/>
        <v>1+0.00143270456012171i</v>
      </c>
      <c r="AX63" s="32">
        <f t="shared" si="86"/>
        <v>1.0000010263206516</v>
      </c>
      <c r="AY63" s="32">
        <f t="shared" si="87"/>
        <v>1.4327035798462292E-3</v>
      </c>
      <c r="AZ63" s="32" t="str">
        <f t="shared" si="61"/>
        <v>1+0.0272213866423125i</v>
      </c>
      <c r="BA63" s="32">
        <f t="shared" si="88"/>
        <v>1.0003704333349372</v>
      </c>
      <c r="BB63" s="32">
        <f t="shared" si="89"/>
        <v>2.7214665912307454E-2</v>
      </c>
      <c r="BC63" s="60" t="str">
        <f t="shared" si="90"/>
        <v>-0.654303095839017+25.3727046503708i</v>
      </c>
      <c r="BD63" s="51">
        <f t="shared" si="91"/>
        <v>28.090222399158591</v>
      </c>
      <c r="BE63" s="63">
        <f t="shared" si="92"/>
        <v>91.477197629215297</v>
      </c>
      <c r="BF63" s="60" t="str">
        <f t="shared" si="93"/>
        <v>40.7553355112854+587.415445108263i</v>
      </c>
      <c r="BG63" s="66">
        <f t="shared" si="94"/>
        <v>55.399762667121159</v>
      </c>
      <c r="BH63" s="63">
        <f t="shared" si="95"/>
        <v>86.031134879572008</v>
      </c>
      <c r="BI63" s="60" t="e">
        <f t="shared" si="101"/>
        <v>#NUM!</v>
      </c>
      <c r="BJ63" s="66" t="e">
        <f t="shared" si="97"/>
        <v>#NUM!</v>
      </c>
      <c r="BK63" s="63" t="e">
        <f t="shared" si="102"/>
        <v>#NUM!</v>
      </c>
      <c r="BL63" s="51">
        <f t="shared" si="99"/>
        <v>55.399762667121159</v>
      </c>
      <c r="BM63" s="63">
        <f t="shared" si="100"/>
        <v>86.031134879572008</v>
      </c>
    </row>
    <row r="64" spans="1:65" x14ac:dyDescent="0.3">
      <c r="N64" s="11">
        <v>46</v>
      </c>
      <c r="O64" s="52">
        <f t="shared" si="62"/>
        <v>28.840315031266066</v>
      </c>
      <c r="P64" s="50" t="str">
        <f t="shared" si="50"/>
        <v>23.3035714285714</v>
      </c>
      <c r="Q64" s="18" t="str">
        <f t="shared" si="51"/>
        <v>1+0.0970762733886866i</v>
      </c>
      <c r="R64" s="18">
        <f t="shared" si="63"/>
        <v>1.0047008524207766</v>
      </c>
      <c r="S64" s="18">
        <f t="shared" si="64"/>
        <v>9.6773043543811638E-2</v>
      </c>
      <c r="T64" s="18" t="str">
        <f t="shared" si="52"/>
        <v>1+0.000181209043658882i</v>
      </c>
      <c r="U64" s="18">
        <f t="shared" si="65"/>
        <v>1.0000000164183587</v>
      </c>
      <c r="V64" s="18">
        <f t="shared" si="66"/>
        <v>1.8120904167544531E-4</v>
      </c>
      <c r="W64" s="32" t="str">
        <f t="shared" si="53"/>
        <v>1-0.000442955440055045i</v>
      </c>
      <c r="X64" s="18">
        <f t="shared" si="67"/>
        <v>1.0000000981047561</v>
      </c>
      <c r="Y64" s="18">
        <f t="shared" si="68"/>
        <v>-4.4295541108435669E-4</v>
      </c>
      <c r="Z64" s="32" t="str">
        <f t="shared" si="54"/>
        <v>0.999999996672945+0.000217401019903652i</v>
      </c>
      <c r="AA64" s="18">
        <f t="shared" si="69"/>
        <v>1.0000000203045465</v>
      </c>
      <c r="AB64" s="18">
        <f t="shared" si="70"/>
        <v>2.1740101720193434E-4</v>
      </c>
      <c r="AC64" s="68" t="str">
        <f t="shared" si="71"/>
        <v>23.0849390954849-2.25216570476795i</v>
      </c>
      <c r="AD64" s="66">
        <f t="shared" si="72"/>
        <v>27.307715097149959</v>
      </c>
      <c r="AE64" s="63">
        <f t="shared" si="73"/>
        <v>-5.5721400887136614</v>
      </c>
      <c r="AF64" s="51" t="e">
        <f t="shared" si="74"/>
        <v>#NUM!</v>
      </c>
      <c r="AG64" s="51" t="str">
        <f t="shared" si="55"/>
        <v>1-0.135906782744162i</v>
      </c>
      <c r="AH64" s="51">
        <f t="shared" si="75"/>
        <v>1.0091930705250947</v>
      </c>
      <c r="AI64" s="51">
        <f t="shared" si="76"/>
        <v>-0.13507917308985387</v>
      </c>
      <c r="AJ64" s="51" t="str">
        <f t="shared" si="56"/>
        <v>1+0.000181209043658882i</v>
      </c>
      <c r="AK64" s="51">
        <f t="shared" si="77"/>
        <v>1.0000000164183587</v>
      </c>
      <c r="AL64" s="51">
        <f t="shared" si="78"/>
        <v>1.8120904167544531E-4</v>
      </c>
      <c r="AM64" s="51" t="e">
        <f t="shared" si="57"/>
        <v>#NUM!</v>
      </c>
      <c r="AN64" s="51" t="e">
        <f t="shared" si="79"/>
        <v>#NUM!</v>
      </c>
      <c r="AO64" s="51" t="e">
        <f t="shared" si="80"/>
        <v>#NUM!</v>
      </c>
      <c r="AP64" s="60" t="e">
        <f t="shared" si="81"/>
        <v>#NUM!</v>
      </c>
      <c r="AQ64" s="51" t="e">
        <f t="shared" si="82"/>
        <v>#NUM!</v>
      </c>
      <c r="AR64" s="63" t="e">
        <f t="shared" si="83"/>
        <v>#NUM!</v>
      </c>
      <c r="AS64" s="32" t="str">
        <f t="shared" si="58"/>
        <v>-0.000170731707317073</v>
      </c>
      <c r="AT64" s="32" t="str">
        <f t="shared" si="59"/>
        <v>0.0000068859436590375i</v>
      </c>
      <c r="AU64" s="32">
        <f t="shared" si="84"/>
        <v>6.8859436590375004E-6</v>
      </c>
      <c r="AV64" s="32">
        <f t="shared" si="85"/>
        <v>1.5707963267948966</v>
      </c>
      <c r="AW64" s="32" t="str">
        <f t="shared" si="60"/>
        <v>1+0.00146607653638123i</v>
      </c>
      <c r="AX64" s="32">
        <f t="shared" si="86"/>
        <v>1.0000010746896277</v>
      </c>
      <c r="AY64" s="32">
        <f t="shared" si="87"/>
        <v>1.4660754859971887E-3</v>
      </c>
      <c r="AZ64" s="32" t="str">
        <f t="shared" si="61"/>
        <v>1+0.0278554541912434i</v>
      </c>
      <c r="BA64" s="32">
        <f t="shared" si="88"/>
        <v>1.000387887935575</v>
      </c>
      <c r="BB64" s="32">
        <f t="shared" si="89"/>
        <v>2.7848252950095461E-2</v>
      </c>
      <c r="BC64" s="60" t="str">
        <f t="shared" si="90"/>
        <v>-0.654303032543146+24.7951945543089i</v>
      </c>
      <c r="BD64" s="51">
        <f t="shared" si="91"/>
        <v>27.890373530304021</v>
      </c>
      <c r="BE64" s="63">
        <f t="shared" si="92"/>
        <v>91.511587423057975</v>
      </c>
      <c r="BF64" s="60" t="str">
        <f t="shared" si="93"/>
        <v>40.7383411620139+573.869154997339i</v>
      </c>
      <c r="BG64" s="66">
        <f t="shared" si="94"/>
        <v>55.198088627453984</v>
      </c>
      <c r="BH64" s="63">
        <f t="shared" si="95"/>
        <v>85.939447334344337</v>
      </c>
      <c r="BI64" s="60" t="e">
        <f t="shared" si="101"/>
        <v>#NUM!</v>
      </c>
      <c r="BJ64" s="66" t="e">
        <f t="shared" si="97"/>
        <v>#NUM!</v>
      </c>
      <c r="BK64" s="63" t="e">
        <f t="shared" si="102"/>
        <v>#NUM!</v>
      </c>
      <c r="BL64" s="51">
        <f t="shared" si="99"/>
        <v>55.198088627453984</v>
      </c>
      <c r="BM64" s="63">
        <f t="shared" si="100"/>
        <v>85.939447334344337</v>
      </c>
    </row>
    <row r="65" spans="1:65" x14ac:dyDescent="0.3">
      <c r="A65" s="70" t="s">
        <v>474</v>
      </c>
      <c r="N65" s="11">
        <v>47</v>
      </c>
      <c r="O65" s="52">
        <f t="shared" si="62"/>
        <v>29.512092266663863</v>
      </c>
      <c r="P65" s="50" t="str">
        <f t="shared" si="50"/>
        <v>23.3035714285714</v>
      </c>
      <c r="Q65" s="18" t="str">
        <f t="shared" si="51"/>
        <v>1+0.0993374702753736i</v>
      </c>
      <c r="R65" s="18">
        <f t="shared" si="63"/>
        <v>1.00492185417609</v>
      </c>
      <c r="S65" s="18">
        <f t="shared" si="64"/>
        <v>9.9012639528395091E-2</v>
      </c>
      <c r="T65" s="18" t="str">
        <f t="shared" si="52"/>
        <v>1+0.000185429944514031i</v>
      </c>
      <c r="U65" s="18">
        <f t="shared" si="65"/>
        <v>1.0000000171921319</v>
      </c>
      <c r="V65" s="18">
        <f t="shared" si="66"/>
        <v>1.8542994238874032E-4</v>
      </c>
      <c r="W65" s="32" t="str">
        <f t="shared" si="53"/>
        <v>1-0.000453273197700965i</v>
      </c>
      <c r="X65" s="18">
        <f t="shared" si="67"/>
        <v>1.0000001027282905</v>
      </c>
      <c r="Y65" s="18">
        <f t="shared" si="68"/>
        <v>-4.5327316665831337E-4</v>
      </c>
      <c r="Z65" s="32" t="str">
        <f t="shared" si="54"/>
        <v>0.999999996516146+0.000222464940182096i</v>
      </c>
      <c r="AA65" s="18">
        <f t="shared" si="69"/>
        <v>1.0000000212614706</v>
      </c>
      <c r="AB65" s="18">
        <f t="shared" si="70"/>
        <v>2.2246493728715332E-4</v>
      </c>
      <c r="AC65" s="68" t="str">
        <f t="shared" si="71"/>
        <v>23.0747359549768-2.30361182897392i</v>
      </c>
      <c r="AD65" s="66">
        <f t="shared" si="72"/>
        <v>27.30580473048893</v>
      </c>
      <c r="AE65" s="63">
        <f t="shared" si="73"/>
        <v>-5.7010989517452479</v>
      </c>
      <c r="AF65" s="51" t="e">
        <f t="shared" si="74"/>
        <v>#NUM!</v>
      </c>
      <c r="AG65" s="51" t="str">
        <f t="shared" si="55"/>
        <v>1-0.139072458385524i</v>
      </c>
      <c r="AH65" s="51">
        <f t="shared" si="75"/>
        <v>1.0096242611394564</v>
      </c>
      <c r="AI65" s="51">
        <f t="shared" si="76"/>
        <v>-0.13818611458440136</v>
      </c>
      <c r="AJ65" s="51" t="str">
        <f t="shared" si="56"/>
        <v>1+0.000185429944514031i</v>
      </c>
      <c r="AK65" s="51">
        <f t="shared" si="77"/>
        <v>1.0000000171921319</v>
      </c>
      <c r="AL65" s="51">
        <f t="shared" si="78"/>
        <v>1.8542994238874032E-4</v>
      </c>
      <c r="AM65" s="51" t="e">
        <f t="shared" si="57"/>
        <v>#NUM!</v>
      </c>
      <c r="AN65" s="51" t="e">
        <f t="shared" si="79"/>
        <v>#NUM!</v>
      </c>
      <c r="AO65" s="51" t="e">
        <f t="shared" si="80"/>
        <v>#NUM!</v>
      </c>
      <c r="AP65" s="60" t="e">
        <f t="shared" si="81"/>
        <v>#NUM!</v>
      </c>
      <c r="AQ65" s="51" t="e">
        <f t="shared" si="82"/>
        <v>#NUM!</v>
      </c>
      <c r="AR65" s="63" t="e">
        <f t="shared" si="83"/>
        <v>#NUM!</v>
      </c>
      <c r="AS65" s="32" t="str">
        <f t="shared" si="58"/>
        <v>-0.000170731707317073</v>
      </c>
      <c r="AT65" s="32" t="str">
        <f t="shared" si="59"/>
        <v>7.04633789153317E-06i</v>
      </c>
      <c r="AU65" s="32">
        <f t="shared" si="84"/>
        <v>7.0463378915331701E-6</v>
      </c>
      <c r="AV65" s="32">
        <f t="shared" si="85"/>
        <v>1.5707963267948966</v>
      </c>
      <c r="AW65" s="32" t="str">
        <f t="shared" si="60"/>
        <v>1+0.00150022584582615i</v>
      </c>
      <c r="AX65" s="32">
        <f t="shared" si="86"/>
        <v>1.0000011253381611</v>
      </c>
      <c r="AY65" s="32">
        <f t="shared" si="87"/>
        <v>1.5002247203194403E-3</v>
      </c>
      <c r="AZ65" s="32" t="str">
        <f t="shared" si="61"/>
        <v>1+0.0285042910706969i</v>
      </c>
      <c r="BA65" s="32">
        <f t="shared" si="88"/>
        <v>1.0004061648197911</v>
      </c>
      <c r="BB65" s="32">
        <f t="shared" si="89"/>
        <v>2.849657497097444E-2</v>
      </c>
      <c r="BC65" s="60" t="str">
        <f t="shared" si="90"/>
        <v>-0.654302966264243+24.230831198594i</v>
      </c>
      <c r="BD65" s="51">
        <f t="shared" si="91"/>
        <v>27.690531778372829</v>
      </c>
      <c r="BE65" s="63">
        <f t="shared" si="92"/>
        <v>91.546776931619476</v>
      </c>
      <c r="BF65" s="60" t="str">
        <f t="shared" si="93"/>
        <v>40.7205611938459+560.627291929989i</v>
      </c>
      <c r="BG65" s="66">
        <f t="shared" si="94"/>
        <v>54.996336508861752</v>
      </c>
      <c r="BH65" s="63">
        <f t="shared" si="95"/>
        <v>85.845677979874225</v>
      </c>
      <c r="BI65" s="60" t="e">
        <f t="shared" si="101"/>
        <v>#NUM!</v>
      </c>
      <c r="BJ65" s="66" t="e">
        <f t="shared" si="97"/>
        <v>#NUM!</v>
      </c>
      <c r="BK65" s="63" t="e">
        <f t="shared" si="102"/>
        <v>#NUM!</v>
      </c>
      <c r="BL65" s="51">
        <f t="shared" si="99"/>
        <v>54.996336508861752</v>
      </c>
      <c r="BM65" s="63">
        <f t="shared" si="100"/>
        <v>85.845677979874225</v>
      </c>
    </row>
    <row r="66" spans="1:65" x14ac:dyDescent="0.3">
      <c r="A66" t="s">
        <v>502</v>
      </c>
      <c r="B66" t="e">
        <f>SQRT((2*IOUT*Lm*Fsw*(VOUT-VIN_var)/(VIN_var^2)))</f>
        <v>#NUM!</v>
      </c>
      <c r="E66" t="s">
        <v>503</v>
      </c>
      <c r="N66" s="11">
        <v>48</v>
      </c>
      <c r="O66" s="52">
        <f t="shared" si="62"/>
        <v>30.199517204020164</v>
      </c>
      <c r="P66" s="50" t="str">
        <f t="shared" si="50"/>
        <v>23.3035714285714</v>
      </c>
      <c r="Q66" s="18" t="str">
        <f t="shared" si="51"/>
        <v>1+0.101651337203688i</v>
      </c>
      <c r="R66" s="18">
        <f t="shared" si="63"/>
        <v>1.0051532193428512</v>
      </c>
      <c r="S66" s="18">
        <f t="shared" si="64"/>
        <v>0.10130337109073115</v>
      </c>
      <c r="T66" s="18" t="str">
        <f t="shared" si="52"/>
        <v>1+0.000189749162780217i</v>
      </c>
      <c r="U66" s="18">
        <f t="shared" si="65"/>
        <v>1.0000000180023723</v>
      </c>
      <c r="V66" s="18">
        <f t="shared" si="66"/>
        <v>1.8974916050292699E-4</v>
      </c>
      <c r="W66" s="32" t="str">
        <f t="shared" si="53"/>
        <v>1-0.000463831286796086i</v>
      </c>
      <c r="X66" s="18">
        <f t="shared" si="67"/>
        <v>1.0000001075697256</v>
      </c>
      <c r="Y66" s="18">
        <f t="shared" si="68"/>
        <v>-4.6383125353328573E-4</v>
      </c>
      <c r="Z66" s="32" t="str">
        <f t="shared" si="54"/>
        <v>0.999999996351957+0.000227646814316496i</v>
      </c>
      <c r="AA66" s="18">
        <f t="shared" si="69"/>
        <v>1.0000000222634928</v>
      </c>
      <c r="AB66" s="18">
        <f t="shared" si="70"/>
        <v>2.2764681121450903E-4</v>
      </c>
      <c r="AC66" s="68" t="str">
        <f t="shared" si="71"/>
        <v>23.0640615697266-2.35618477598609i</v>
      </c>
      <c r="AD66" s="66">
        <f t="shared" si="72"/>
        <v>27.303805231315867</v>
      </c>
      <c r="AE66" s="63">
        <f t="shared" si="73"/>
        <v>-5.8330025626194262</v>
      </c>
      <c r="AF66" s="51" t="e">
        <f t="shared" si="74"/>
        <v>#NUM!</v>
      </c>
      <c r="AG66" s="51" t="str">
        <f t="shared" si="55"/>
        <v>1-0.142311872085163i</v>
      </c>
      <c r="AH66" s="51">
        <f t="shared" si="75"/>
        <v>1.0100755758537991</v>
      </c>
      <c r="AI66" s="51">
        <f t="shared" si="76"/>
        <v>-0.14136264850304961</v>
      </c>
      <c r="AJ66" s="51" t="str">
        <f t="shared" si="56"/>
        <v>1+0.000189749162780217i</v>
      </c>
      <c r="AK66" s="51">
        <f t="shared" si="77"/>
        <v>1.0000000180023723</v>
      </c>
      <c r="AL66" s="51">
        <f t="shared" si="78"/>
        <v>1.8974916050292699E-4</v>
      </c>
      <c r="AM66" s="51" t="e">
        <f t="shared" si="57"/>
        <v>#NUM!</v>
      </c>
      <c r="AN66" s="51" t="e">
        <f t="shared" si="79"/>
        <v>#NUM!</v>
      </c>
      <c r="AO66" s="51" t="e">
        <f t="shared" si="80"/>
        <v>#NUM!</v>
      </c>
      <c r="AP66" s="60" t="e">
        <f t="shared" si="81"/>
        <v>#NUM!</v>
      </c>
      <c r="AQ66" s="51" t="e">
        <f t="shared" si="82"/>
        <v>#NUM!</v>
      </c>
      <c r="AR66" s="63" t="e">
        <f t="shared" si="83"/>
        <v>#NUM!</v>
      </c>
      <c r="AS66" s="32" t="str">
        <f t="shared" si="58"/>
        <v>-0.000170731707317073</v>
      </c>
      <c r="AT66" s="32" t="str">
        <f t="shared" si="59"/>
        <v>7.21046818564823E-06i</v>
      </c>
      <c r="AU66" s="32">
        <f t="shared" si="84"/>
        <v>7.21046818564823E-6</v>
      </c>
      <c r="AV66" s="32">
        <f t="shared" si="85"/>
        <v>1.5707963267948966</v>
      </c>
      <c r="AW66" s="32" t="str">
        <f t="shared" si="60"/>
        <v>1+0.00153517059487236i</v>
      </c>
      <c r="AX66" s="32">
        <f t="shared" si="86"/>
        <v>1.0000011783736833</v>
      </c>
      <c r="AY66" s="32">
        <f t="shared" si="87"/>
        <v>1.535169388870269E-3</v>
      </c>
      <c r="AZ66" s="32" t="str">
        <f t="shared" si="61"/>
        <v>1+0.029168241302575i</v>
      </c>
      <c r="BA66" s="32">
        <f t="shared" si="88"/>
        <v>1.0004253027091454</v>
      </c>
      <c r="BB66" s="32">
        <f t="shared" si="89"/>
        <v>2.9159973542584539E-2</v>
      </c>
      <c r="BC66" s="60" t="str">
        <f t="shared" si="90"/>
        <v>-0.654302896861729+23.6793153503043i</v>
      </c>
      <c r="BD66" s="51">
        <f t="shared" si="91"/>
        <v>27.490697478229002</v>
      </c>
      <c r="BE66" s="63">
        <f t="shared" si="92"/>
        <v>91.58278468788329</v>
      </c>
      <c r="BF66" s="60" t="str">
        <f t="shared" si="93"/>
        <v>40.7019600356913+547.68284569286i</v>
      </c>
      <c r="BG66" s="66">
        <f t="shared" si="94"/>
        <v>54.794502709544872</v>
      </c>
      <c r="BH66" s="63">
        <f t="shared" si="95"/>
        <v>85.749782125263863</v>
      </c>
      <c r="BI66" s="60" t="e">
        <f t="shared" si="101"/>
        <v>#NUM!</v>
      </c>
      <c r="BJ66" s="66" t="e">
        <f t="shared" si="97"/>
        <v>#NUM!</v>
      </c>
      <c r="BK66" s="63" t="e">
        <f t="shared" si="102"/>
        <v>#NUM!</v>
      </c>
      <c r="BL66" s="51">
        <f t="shared" si="99"/>
        <v>54.794502709544872</v>
      </c>
      <c r="BM66" s="63">
        <f t="shared" si="100"/>
        <v>85.749782125263863</v>
      </c>
    </row>
    <row r="67" spans="1:65" x14ac:dyDescent="0.3">
      <c r="A67" s="32" t="s">
        <v>476</v>
      </c>
      <c r="B67" s="32">
        <f>(Fsw*Gcomp)/((R_cs*Acs*(VIN_var/Lm))+((R_sl+Rsl_int)*Isl))</f>
        <v>6.6458211523738875</v>
      </c>
      <c r="C67" s="32" t="s">
        <v>147</v>
      </c>
      <c r="E67" t="s">
        <v>501</v>
      </c>
      <c r="N67" s="11">
        <v>49</v>
      </c>
      <c r="O67" s="52">
        <f t="shared" si="62"/>
        <v>30.902954325135919</v>
      </c>
      <c r="P67" s="50" t="str">
        <f t="shared" si="50"/>
        <v>23.3035714285714</v>
      </c>
      <c r="Q67" s="18" t="str">
        <f t="shared" si="51"/>
        <v>1+0.104019101016501i</v>
      </c>
      <c r="R67" s="18">
        <f t="shared" si="63"/>
        <v>1.0053954313484228</v>
      </c>
      <c r="S67" s="18">
        <f t="shared" si="64"/>
        <v>0.1036463565902779</v>
      </c>
      <c r="T67" s="18" t="str">
        <f t="shared" si="52"/>
        <v>1+0.000194168988564136i</v>
      </c>
      <c r="U67" s="18">
        <f t="shared" si="65"/>
        <v>1.0000000188507978</v>
      </c>
      <c r="V67" s="18">
        <f t="shared" si="66"/>
        <v>1.9416898612397579E-4</v>
      </c>
      <c r="W67" s="32" t="str">
        <f t="shared" si="53"/>
        <v>1-0.000474635305378999i</v>
      </c>
      <c r="X67" s="18">
        <f t="shared" si="67"/>
        <v>1.0000001126393301</v>
      </c>
      <c r="Y67" s="18">
        <f t="shared" si="68"/>
        <v>-4.7463526973726654E-4</v>
      </c>
      <c r="Z67" s="32" t="str">
        <f t="shared" si="54"/>
        <v>0.99999999618003+0.000232949389805108i</v>
      </c>
      <c r="AA67" s="18">
        <f t="shared" si="69"/>
        <v>1.0000000233127389</v>
      </c>
      <c r="AB67" s="18">
        <f t="shared" si="70"/>
        <v>2.3294938648126909E-4</v>
      </c>
      <c r="AC67" s="68" t="str">
        <f t="shared" si="71"/>
        <v>23.0528946436783-2.40990579617277i</v>
      </c>
      <c r="AD67" s="66">
        <f t="shared" si="72"/>
        <v>27.301712484894537</v>
      </c>
      <c r="AE67" s="63">
        <f t="shared" si="73"/>
        <v>-5.9679153455631555</v>
      </c>
      <c r="AF67" s="51" t="e">
        <f t="shared" si="74"/>
        <v>#NUM!</v>
      </c>
      <c r="AG67" s="51" t="str">
        <f t="shared" si="55"/>
        <v>1-0.145626741423102i</v>
      </c>
      <c r="AH67" s="51">
        <f t="shared" si="75"/>
        <v>1.0105479443438155</v>
      </c>
      <c r="AI67" s="51">
        <f t="shared" si="76"/>
        <v>-0.14461020253260137</v>
      </c>
      <c r="AJ67" s="51" t="str">
        <f t="shared" si="56"/>
        <v>1+0.000194168988564136i</v>
      </c>
      <c r="AK67" s="51">
        <f t="shared" si="77"/>
        <v>1.0000000188507978</v>
      </c>
      <c r="AL67" s="51">
        <f t="shared" si="78"/>
        <v>1.9416898612397579E-4</v>
      </c>
      <c r="AM67" s="51" t="e">
        <f t="shared" si="57"/>
        <v>#NUM!</v>
      </c>
      <c r="AN67" s="51" t="e">
        <f t="shared" si="79"/>
        <v>#NUM!</v>
      </c>
      <c r="AO67" s="51" t="e">
        <f t="shared" si="80"/>
        <v>#NUM!</v>
      </c>
      <c r="AP67" s="60" t="e">
        <f t="shared" si="81"/>
        <v>#NUM!</v>
      </c>
      <c r="AQ67" s="51" t="e">
        <f t="shared" si="82"/>
        <v>#NUM!</v>
      </c>
      <c r="AR67" s="63" t="e">
        <f t="shared" si="83"/>
        <v>#NUM!</v>
      </c>
      <c r="AS67" s="32" t="str">
        <f t="shared" si="58"/>
        <v>-0.000170731707317073</v>
      </c>
      <c r="AT67" s="32" t="str">
        <f t="shared" si="59"/>
        <v>7.37842156543716E-06i</v>
      </c>
      <c r="AU67" s="32">
        <f t="shared" si="84"/>
        <v>7.3784215654371602E-6</v>
      </c>
      <c r="AV67" s="32">
        <f t="shared" si="85"/>
        <v>1.5707963267948966</v>
      </c>
      <c r="AW67" s="32" t="str">
        <f t="shared" si="60"/>
        <v>1+0.00157092931168837i</v>
      </c>
      <c r="AX67" s="32">
        <f t="shared" si="86"/>
        <v>1.0000012339086899</v>
      </c>
      <c r="AY67" s="32">
        <f t="shared" si="87"/>
        <v>1.5709280194339335E-3</v>
      </c>
      <c r="AZ67" s="32" t="str">
        <f t="shared" si="61"/>
        <v>1+0.029847656922079i</v>
      </c>
      <c r="BA67" s="32">
        <f t="shared" si="88"/>
        <v>1.0004453421470552</v>
      </c>
      <c r="BB67" s="32">
        <f t="shared" si="89"/>
        <v>2.9838798070611471E-2</v>
      </c>
      <c r="BC67" s="60" t="str">
        <f t="shared" si="90"/>
        <v>-0.654302824188386+23.140354588436i</v>
      </c>
      <c r="BD67" s="51">
        <f t="shared" si="91"/>
        <v>27.290870980465339</v>
      </c>
      <c r="BE67" s="63">
        <f t="shared" si="92"/>
        <v>91.619629649756718</v>
      </c>
      <c r="BF67" s="60" t="str">
        <f t="shared" si="93"/>
        <v>40.682500577089+535.028964513037i</v>
      </c>
      <c r="BG67" s="66">
        <f t="shared" si="94"/>
        <v>54.592583465359887</v>
      </c>
      <c r="BH67" s="63">
        <f t="shared" si="95"/>
        <v>85.651714304193575</v>
      </c>
      <c r="BI67" s="60" t="e">
        <f t="shared" si="101"/>
        <v>#NUM!</v>
      </c>
      <c r="BJ67" s="66" t="e">
        <f t="shared" si="97"/>
        <v>#NUM!</v>
      </c>
      <c r="BK67" s="63" t="e">
        <f t="shared" si="102"/>
        <v>#NUM!</v>
      </c>
      <c r="BL67" s="51">
        <f t="shared" si="99"/>
        <v>54.592583465359887</v>
      </c>
      <c r="BM67" s="63">
        <f t="shared" si="100"/>
        <v>85.651714304193575</v>
      </c>
    </row>
    <row r="68" spans="1:65" x14ac:dyDescent="0.3">
      <c r="A68" s="32" t="s">
        <v>475</v>
      </c>
      <c r="B68" s="32" t="e">
        <f>(B67*2*VOUT/DC_VIN_var_DCM)*(((VOUT/VIN_var)-1)/((2*VOUT/VIN_var)-1))</f>
        <v>#NUM!</v>
      </c>
      <c r="C68" s="32" t="s">
        <v>147</v>
      </c>
      <c r="N68" s="11">
        <v>50</v>
      </c>
      <c r="O68" s="52">
        <f t="shared" si="62"/>
        <v>31.622776601683803</v>
      </c>
      <c r="P68" s="50" t="str">
        <f t="shared" si="50"/>
        <v>23.3035714285714</v>
      </c>
      <c r="Q68" s="18" t="str">
        <f t="shared" si="51"/>
        <v>1+0.106442017133529i</v>
      </c>
      <c r="R68" s="18">
        <f t="shared" si="63"/>
        <v>1.0056489959282287</v>
      </c>
      <c r="S68" s="18">
        <f t="shared" si="64"/>
        <v>0.1060427353566045</v>
      </c>
      <c r="T68" s="18" t="str">
        <f t="shared" si="52"/>
        <v>1+0.000198691765315922i</v>
      </c>
      <c r="U68" s="18">
        <f t="shared" si="65"/>
        <v>1.0000000197392087</v>
      </c>
      <c r="V68" s="18">
        <f t="shared" si="66"/>
        <v>1.9869176270124323E-4</v>
      </c>
      <c r="W68" s="32" t="str">
        <f t="shared" si="53"/>
        <v>1-0.000485690981883365i</v>
      </c>
      <c r="X68" s="18">
        <f t="shared" si="67"/>
        <v>1.0000001179478579</v>
      </c>
      <c r="Y68" s="18">
        <f t="shared" si="68"/>
        <v>-4.8569094369256088E-4</v>
      </c>
      <c r="Z68" s="32" t="str">
        <f t="shared" si="54"/>
        <v>0.999999996+0.000238375478143644i</v>
      </c>
      <c r="AA68" s="18">
        <f t="shared" si="69"/>
        <v>1.000000024411434</v>
      </c>
      <c r="AB68" s="18">
        <f t="shared" si="70"/>
        <v>2.3837547458208653E-4</v>
      </c>
      <c r="AC68" s="68" t="str">
        <f t="shared" si="71"/>
        <v>23.0412129630848-2.46479629163051i</v>
      </c>
      <c r="AD68" s="66">
        <f t="shared" si="72"/>
        <v>27.299522190726201</v>
      </c>
      <c r="AE68" s="63">
        <f t="shared" si="73"/>
        <v>-6.1059029343836615</v>
      </c>
      <c r="AF68" s="51" t="e">
        <f t="shared" si="74"/>
        <v>#NUM!</v>
      </c>
      <c r="AG68" s="51" t="str">
        <f t="shared" si="55"/>
        <v>1-0.149018823986942i</v>
      </c>
      <c r="AH68" s="51">
        <f t="shared" si="75"/>
        <v>1.011042338333292</v>
      </c>
      <c r="AI68" s="51">
        <f t="shared" si="76"/>
        <v>-0.14793022442082215</v>
      </c>
      <c r="AJ68" s="51" t="str">
        <f t="shared" si="56"/>
        <v>1+0.000198691765315922i</v>
      </c>
      <c r="AK68" s="51">
        <f t="shared" si="77"/>
        <v>1.0000000197392087</v>
      </c>
      <c r="AL68" s="51">
        <f t="shared" si="78"/>
        <v>1.9869176270124323E-4</v>
      </c>
      <c r="AM68" s="51" t="e">
        <f t="shared" si="57"/>
        <v>#NUM!</v>
      </c>
      <c r="AN68" s="51" t="e">
        <f t="shared" si="79"/>
        <v>#NUM!</v>
      </c>
      <c r="AO68" s="51" t="e">
        <f t="shared" si="80"/>
        <v>#NUM!</v>
      </c>
      <c r="AP68" s="60" t="e">
        <f t="shared" si="81"/>
        <v>#NUM!</v>
      </c>
      <c r="AQ68" s="51" t="e">
        <f t="shared" si="82"/>
        <v>#NUM!</v>
      </c>
      <c r="AR68" s="63" t="e">
        <f t="shared" si="83"/>
        <v>#NUM!</v>
      </c>
      <c r="AS68" s="32" t="str">
        <f t="shared" si="58"/>
        <v>-0.000170731707317073</v>
      </c>
      <c r="AT68" s="32" t="str">
        <f t="shared" si="59"/>
        <v>7.55028708200504E-06i</v>
      </c>
      <c r="AU68" s="32">
        <f t="shared" si="84"/>
        <v>7.5502870820050397E-6</v>
      </c>
      <c r="AV68" s="32">
        <f t="shared" si="85"/>
        <v>1.5707963267948966</v>
      </c>
      <c r="AW68" s="32" t="str">
        <f t="shared" si="60"/>
        <v>1+0.00160752095601913i</v>
      </c>
      <c r="AX68" s="32">
        <f t="shared" si="86"/>
        <v>1.0000012920609773</v>
      </c>
      <c r="AY68" s="32">
        <f t="shared" si="87"/>
        <v>1.6075195713436507E-3</v>
      </c>
      <c r="AZ68" s="32" t="str">
        <f t="shared" si="61"/>
        <v>1+0.0305428981643635i</v>
      </c>
      <c r="BA68" s="32">
        <f t="shared" si="88"/>
        <v>1.000466325584364</v>
      </c>
      <c r="BB68" s="32">
        <f t="shared" si="89"/>
        <v>3.0533405972939808E-2</v>
      </c>
      <c r="BC68" s="60" t="str">
        <f t="shared" si="90"/>
        <v>-0.654302748090073+22.6136631488584i</v>
      </c>
      <c r="BD68" s="51">
        <f t="shared" si="91"/>
        <v>27.091052652139926</v>
      </c>
      <c r="BE68" s="63">
        <f t="shared" si="92"/>
        <v>91.657331209486316</v>
      </c>
      <c r="BF68" s="60" t="str">
        <f t="shared" si="93"/>
        <v>40.6621441084127+522.658951475405i</v>
      </c>
      <c r="BG68" s="66">
        <f t="shared" si="94"/>
        <v>54.390574842866116</v>
      </c>
      <c r="BH68" s="63">
        <f t="shared" si="95"/>
        <v>85.551428275102666</v>
      </c>
      <c r="BI68" s="60" t="e">
        <f t="shared" si="101"/>
        <v>#NUM!</v>
      </c>
      <c r="BJ68" s="66" t="e">
        <f t="shared" si="97"/>
        <v>#NUM!</v>
      </c>
      <c r="BK68" s="63" t="e">
        <f t="shared" si="102"/>
        <v>#NUM!</v>
      </c>
      <c r="BL68" s="51">
        <f t="shared" si="99"/>
        <v>54.390574842866116</v>
      </c>
      <c r="BM68" s="63">
        <f t="shared" si="100"/>
        <v>85.551428275102666</v>
      </c>
    </row>
    <row r="69" spans="1:65" x14ac:dyDescent="0.3">
      <c r="A69" s="32" t="s">
        <v>505</v>
      </c>
      <c r="B69" s="32">
        <f>(IOUT_VAR*((2*VOUT)-VIN_var))/(Cout*VOUT*(VOUT-VIN_var))</f>
        <v>-1333.3333333333333</v>
      </c>
      <c r="C69" s="32" t="s">
        <v>392</v>
      </c>
      <c r="N69" s="11">
        <v>51</v>
      </c>
      <c r="O69" s="52">
        <f t="shared" si="62"/>
        <v>32.359365692962832</v>
      </c>
      <c r="P69" s="50" t="str">
        <f t="shared" si="50"/>
        <v>23.3035714285714</v>
      </c>
      <c r="Q69" s="18" t="str">
        <f t="shared" si="51"/>
        <v>1+0.108921370216969i</v>
      </c>
      <c r="R69" s="18">
        <f t="shared" si="63"/>
        <v>1.005914442132104</v>
      </c>
      <c r="S69" s="18">
        <f t="shared" si="64"/>
        <v>0.10849366782921339</v>
      </c>
      <c r="T69" s="18" t="str">
        <f t="shared" si="52"/>
        <v>1+0.000203319891071675i</v>
      </c>
      <c r="U69" s="18">
        <f t="shared" si="65"/>
        <v>1.0000000206694888</v>
      </c>
      <c r="V69" s="18">
        <f t="shared" si="66"/>
        <v>2.0331988826999622E-4</v>
      </c>
      <c r="W69" s="32" t="str">
        <f t="shared" si="53"/>
        <v>1-0.000497004178175206i</v>
      </c>
      <c r="X69" s="18">
        <f t="shared" si="67"/>
        <v>1.000000123506569</v>
      </c>
      <c r="Y69" s="18">
        <f t="shared" si="68"/>
        <v>-4.9700413725302242E-4</v>
      </c>
      <c r="Z69" s="32" t="str">
        <f t="shared" si="54"/>
        <v>0.999999995811486+0.000243927956315965i</v>
      </c>
      <c r="AA69" s="18">
        <f t="shared" si="69"/>
        <v>1.0000000255619097</v>
      </c>
      <c r="AB69" s="18">
        <f t="shared" si="70"/>
        <v>2.439279524996874E-4</v>
      </c>
      <c r="AC69" s="68" t="str">
        <f t="shared" si="71"/>
        <v>23.0289933612433-2.52087779684474i</v>
      </c>
      <c r="AD69" s="66">
        <f t="shared" si="72"/>
        <v>27.297229854562591</v>
      </c>
      <c r="AE69" s="63">
        <f t="shared" si="73"/>
        <v>-6.2470321806678584</v>
      </c>
      <c r="AF69" s="51" t="e">
        <f t="shared" si="74"/>
        <v>#NUM!</v>
      </c>
      <c r="AG69" s="51" t="str">
        <f t="shared" si="55"/>
        <v>1-0.152489918303757i</v>
      </c>
      <c r="AH69" s="51">
        <f t="shared" si="75"/>
        <v>1.0115597734114807</v>
      </c>
      <c r="AI69" s="51">
        <f t="shared" si="76"/>
        <v>-0.15132418157448485</v>
      </c>
      <c r="AJ69" s="51" t="str">
        <f t="shared" si="56"/>
        <v>1+0.000203319891071675i</v>
      </c>
      <c r="AK69" s="51">
        <f t="shared" si="77"/>
        <v>1.0000000206694888</v>
      </c>
      <c r="AL69" s="51">
        <f t="shared" si="78"/>
        <v>2.0331988826999622E-4</v>
      </c>
      <c r="AM69" s="51" t="e">
        <f t="shared" si="57"/>
        <v>#NUM!</v>
      </c>
      <c r="AN69" s="51" t="e">
        <f t="shared" si="79"/>
        <v>#NUM!</v>
      </c>
      <c r="AO69" s="51" t="e">
        <f t="shared" si="80"/>
        <v>#NUM!</v>
      </c>
      <c r="AP69" s="60" t="e">
        <f t="shared" si="81"/>
        <v>#NUM!</v>
      </c>
      <c r="AQ69" s="51" t="e">
        <f t="shared" si="82"/>
        <v>#NUM!</v>
      </c>
      <c r="AR69" s="63" t="e">
        <f t="shared" si="83"/>
        <v>#NUM!</v>
      </c>
      <c r="AS69" s="32" t="str">
        <f t="shared" si="58"/>
        <v>-0.000170731707317073</v>
      </c>
      <c r="AT69" s="32" t="str">
        <f t="shared" si="59"/>
        <v>7.72615586072366E-06i</v>
      </c>
      <c r="AU69" s="32">
        <f t="shared" si="84"/>
        <v>7.7261558607236603E-6</v>
      </c>
      <c r="AV69" s="32">
        <f t="shared" si="85"/>
        <v>1.5707963267948966</v>
      </c>
      <c r="AW69" s="32" t="str">
        <f t="shared" si="60"/>
        <v>1+0.00164496492923883i</v>
      </c>
      <c r="AX69" s="32">
        <f t="shared" si="86"/>
        <v>1.000001352953894</v>
      </c>
      <c r="AY69" s="32">
        <f t="shared" si="87"/>
        <v>1.644963445532431E-3</v>
      </c>
      <c r="AZ69" s="32" t="str">
        <f t="shared" si="61"/>
        <v>1+0.0312543336555379i</v>
      </c>
      <c r="BA69" s="32">
        <f t="shared" si="88"/>
        <v>1.0004882974689169</v>
      </c>
      <c r="BB69" s="32">
        <f t="shared" si="89"/>
        <v>3.1244162857263776E-2</v>
      </c>
      <c r="BC69" s="60" t="str">
        <f t="shared" si="90"/>
        <v>-0.654302668405379+22.0989617727983i</v>
      </c>
      <c r="BD69" s="51">
        <f t="shared" si="91"/>
        <v>26.891242877546667</v>
      </c>
      <c r="BE69" s="63">
        <f t="shared" si="92"/>
        <v>91.69590920325831</v>
      </c>
      <c r="BF69" s="60" t="str">
        <f t="shared" si="93"/>
        <v>40.6408502594167+510.566261025341i</v>
      </c>
      <c r="BG69" s="66">
        <f t="shared" si="94"/>
        <v>54.188472732109261</v>
      </c>
      <c r="BH69" s="63">
        <f t="shared" si="95"/>
        <v>85.448877022590452</v>
      </c>
      <c r="BI69" s="60" t="e">
        <f t="shared" si="101"/>
        <v>#NUM!</v>
      </c>
      <c r="BJ69" s="66" t="e">
        <f t="shared" si="97"/>
        <v>#NUM!</v>
      </c>
      <c r="BK69" s="63" t="e">
        <f t="shared" si="102"/>
        <v>#NUM!</v>
      </c>
      <c r="BL69" s="51">
        <f t="shared" si="99"/>
        <v>54.188472732109261</v>
      </c>
      <c r="BM69" s="63">
        <f t="shared" si="100"/>
        <v>85.448877022590452</v>
      </c>
    </row>
    <row r="70" spans="1:65" x14ac:dyDescent="0.3">
      <c r="A70" s="32"/>
      <c r="B70" s="32">
        <f>B69/(2*PI())</f>
        <v>-212.20659078919377</v>
      </c>
      <c r="C70" s="32" t="s">
        <v>67</v>
      </c>
      <c r="N70" s="11">
        <v>52</v>
      </c>
      <c r="O70" s="52">
        <f t="shared" si="62"/>
        <v>33.113112148259127</v>
      </c>
      <c r="P70" s="50" t="str">
        <f t="shared" si="50"/>
        <v>23.3035714285714</v>
      </c>
      <c r="Q70" s="18" t="str">
        <f t="shared" si="51"/>
        <v>1+0.111458474852642i</v>
      </c>
      <c r="R70" s="18">
        <f t="shared" si="63"/>
        <v>1.0061923233738554</v>
      </c>
      <c r="S70" s="18">
        <f t="shared" si="64"/>
        <v>0.11100033567743244</v>
      </c>
      <c r="T70" s="18" t="str">
        <f t="shared" si="52"/>
        <v>1+0.000208055819724932i</v>
      </c>
      <c r="U70" s="18">
        <f t="shared" si="65"/>
        <v>1.0000000216436118</v>
      </c>
      <c r="V70" s="18">
        <f t="shared" si="66"/>
        <v>2.0805581672287909E-4</v>
      </c>
      <c r="W70" s="32" t="str">
        <f t="shared" si="53"/>
        <v>1-0.000508580892660945i</v>
      </c>
      <c r="X70" s="18">
        <f t="shared" si="67"/>
        <v>1.0000001293272538</v>
      </c>
      <c r="Y70" s="18">
        <f t="shared" si="68"/>
        <v>-5.0858084881203543E-4</v>
      </c>
      <c r="Z70" s="32" t="str">
        <f t="shared" si="54"/>
        <v>0.999999995614087+0.000249609768319494i</v>
      </c>
      <c r="AA70" s="18">
        <f t="shared" si="69"/>
        <v>1.0000000267666047</v>
      </c>
      <c r="AB70" s="18">
        <f t="shared" si="70"/>
        <v>2.4960976423027897E-4</v>
      </c>
      <c r="AC70" s="68" t="str">
        <f t="shared" si="71"/>
        <v>23.0162116822944-2.5781719574611i</v>
      </c>
      <c r="AD70" s="66">
        <f t="shared" si="72"/>
        <v>27.294830780113799</v>
      </c>
      <c r="AE70" s="63">
        <f t="shared" si="73"/>
        <v>-6.3913711608446482</v>
      </c>
      <c r="AF70" s="51" t="e">
        <f t="shared" si="74"/>
        <v>#NUM!</v>
      </c>
      <c r="AG70" s="51" t="str">
        <f t="shared" si="55"/>
        <v>1-0.156041864793699i</v>
      </c>
      <c r="AH70" s="51">
        <f t="shared" si="75"/>
        <v>1.0121013109211425</v>
      </c>
      <c r="AI70" s="51">
        <f t="shared" si="76"/>
        <v>-0.15479356059449442</v>
      </c>
      <c r="AJ70" s="51" t="str">
        <f t="shared" si="56"/>
        <v>1+0.000208055819724932i</v>
      </c>
      <c r="AK70" s="51">
        <f t="shared" si="77"/>
        <v>1.0000000216436118</v>
      </c>
      <c r="AL70" s="51">
        <f t="shared" si="78"/>
        <v>2.0805581672287909E-4</v>
      </c>
      <c r="AM70" s="51" t="e">
        <f t="shared" si="57"/>
        <v>#NUM!</v>
      </c>
      <c r="AN70" s="51" t="e">
        <f t="shared" si="79"/>
        <v>#NUM!</v>
      </c>
      <c r="AO70" s="51" t="e">
        <f t="shared" si="80"/>
        <v>#NUM!</v>
      </c>
      <c r="AP70" s="60" t="e">
        <f t="shared" si="81"/>
        <v>#NUM!</v>
      </c>
      <c r="AQ70" s="51" t="e">
        <f t="shared" si="82"/>
        <v>#NUM!</v>
      </c>
      <c r="AR70" s="63" t="e">
        <f t="shared" si="83"/>
        <v>#NUM!</v>
      </c>
      <c r="AS70" s="32" t="str">
        <f t="shared" si="58"/>
        <v>-0.000170731707317073</v>
      </c>
      <c r="AT70" s="32" t="str">
        <f t="shared" si="59"/>
        <v>0.0000079061211495474i</v>
      </c>
      <c r="AU70" s="32">
        <f t="shared" si="84"/>
        <v>7.9061211495474001E-6</v>
      </c>
      <c r="AV70" s="32">
        <f t="shared" si="85"/>
        <v>1.5707963267948966</v>
      </c>
      <c r="AW70" s="32" t="str">
        <f t="shared" si="60"/>
        <v>1+0.00168328108463771i</v>
      </c>
      <c r="AX70" s="32">
        <f t="shared" si="86"/>
        <v>1.0000014167166014</v>
      </c>
      <c r="AY70" s="32">
        <f t="shared" si="87"/>
        <v>1.6832794948177818E-3</v>
      </c>
      <c r="AZ70" s="32" t="str">
        <f t="shared" si="61"/>
        <v>1+0.0319823406081166i</v>
      </c>
      <c r="BA70" s="32">
        <f t="shared" si="88"/>
        <v>1.000511304339323</v>
      </c>
      <c r="BB70" s="32">
        <f t="shared" si="89"/>
        <v>3.1971442702193618E-2</v>
      </c>
      <c r="BC70" s="60" t="str">
        <f t="shared" si="90"/>
        <v>-0.654302584965283+21.595977558772i</v>
      </c>
      <c r="BD70" s="51">
        <f t="shared" si="91"/>
        <v>26.691442059020996</v>
      </c>
      <c r="BE70" s="63">
        <f t="shared" si="92"/>
        <v>91.735383920986052</v>
      </c>
      <c r="BF70" s="60" t="str">
        <f t="shared" si="93"/>
        <v>40.6185769361518+498.744495555028i</v>
      </c>
      <c r="BG70" s="66">
        <f t="shared" si="94"/>
        <v>53.986272839134799</v>
      </c>
      <c r="BH70" s="63">
        <f t="shared" si="95"/>
        <v>85.34401276014141</v>
      </c>
      <c r="BI70" s="60" t="e">
        <f t="shared" si="101"/>
        <v>#NUM!</v>
      </c>
      <c r="BJ70" s="66" t="e">
        <f t="shared" si="97"/>
        <v>#NUM!</v>
      </c>
      <c r="BK70" s="63" t="e">
        <f t="shared" si="102"/>
        <v>#NUM!</v>
      </c>
      <c r="BL70" s="51">
        <f t="shared" si="99"/>
        <v>53.986272839134799</v>
      </c>
      <c r="BM70" s="63">
        <f t="shared" si="100"/>
        <v>85.34401276014141</v>
      </c>
    </row>
    <row r="71" spans="1:65" x14ac:dyDescent="0.3">
      <c r="A71" s="32" t="s">
        <v>478</v>
      </c>
      <c r="B71" s="32">
        <f>1/(Cout*Resr)</f>
        <v>1000000</v>
      </c>
      <c r="C71" s="32" t="s">
        <v>392</v>
      </c>
      <c r="N71" s="11">
        <v>53</v>
      </c>
      <c r="O71" s="52">
        <f t="shared" si="62"/>
        <v>33.884415613920268</v>
      </c>
      <c r="P71" s="50" t="str">
        <f t="shared" si="50"/>
        <v>23.3035714285714</v>
      </c>
      <c r="Q71" s="18" t="str">
        <f t="shared" si="51"/>
        <v>1+0.114054676247009i</v>
      </c>
      <c r="R71" s="18">
        <f t="shared" si="63"/>
        <v>1.0064832185256791</v>
      </c>
      <c r="S71" s="18">
        <f t="shared" si="64"/>
        <v>0.11356394189846106</v>
      </c>
      <c r="T71" s="18" t="str">
        <f t="shared" si="52"/>
        <v>1+0.00021290206232775i</v>
      </c>
      <c r="U71" s="18">
        <f t="shared" si="65"/>
        <v>1.0000000226636439</v>
      </c>
      <c r="V71" s="18">
        <f t="shared" si="66"/>
        <v>2.1290205911099239E-4</v>
      </c>
      <c r="W71" s="32" t="str">
        <f t="shared" si="53"/>
        <v>1-0.000520427263467833i</v>
      </c>
      <c r="X71" s="18">
        <f t="shared" si="67"/>
        <v>1.0000001354222592</v>
      </c>
      <c r="Y71" s="18">
        <f t="shared" si="68"/>
        <v>-5.204272164828803E-4</v>
      </c>
      <c r="Z71" s="32" t="str">
        <f t="shared" si="54"/>
        <v>0.999999995407385+0.00025542392672616i</v>
      </c>
      <c r="AA71" s="18">
        <f t="shared" si="69"/>
        <v>1.0000000280280759</v>
      </c>
      <c r="AB71" s="18">
        <f t="shared" si="70"/>
        <v>2.5542392234448726E-4</v>
      </c>
      <c r="AC71" s="68" t="str">
        <f t="shared" si="71"/>
        <v>23.0028427441049-2.63670050704285i</v>
      </c>
      <c r="AD71" s="66">
        <f t="shared" si="72"/>
        <v>27.292320060443032</v>
      </c>
      <c r="AE71" s="63">
        <f t="shared" si="73"/>
        <v>-6.5389891819992547</v>
      </c>
      <c r="AF71" s="51" t="e">
        <f t="shared" si="74"/>
        <v>#NUM!</v>
      </c>
      <c r="AG71" s="51" t="str">
        <f t="shared" si="55"/>
        <v>1-0.159676546745813i</v>
      </c>
      <c r="AH71" s="51">
        <f t="shared" si="75"/>
        <v>1.0126680599192748</v>
      </c>
      <c r="AI71" s="51">
        <f t="shared" si="76"/>
        <v>-0.15833986674376191</v>
      </c>
      <c r="AJ71" s="51" t="str">
        <f t="shared" si="56"/>
        <v>1+0.00021290206232775i</v>
      </c>
      <c r="AK71" s="51">
        <f t="shared" si="77"/>
        <v>1.0000000226636439</v>
      </c>
      <c r="AL71" s="51">
        <f t="shared" si="78"/>
        <v>2.1290205911099239E-4</v>
      </c>
      <c r="AM71" s="51" t="e">
        <f t="shared" si="57"/>
        <v>#NUM!</v>
      </c>
      <c r="AN71" s="51" t="e">
        <f t="shared" si="79"/>
        <v>#NUM!</v>
      </c>
      <c r="AO71" s="51" t="e">
        <f t="shared" si="80"/>
        <v>#NUM!</v>
      </c>
      <c r="AP71" s="60" t="e">
        <f t="shared" si="81"/>
        <v>#NUM!</v>
      </c>
      <c r="AQ71" s="51" t="e">
        <f t="shared" si="82"/>
        <v>#NUM!</v>
      </c>
      <c r="AR71" s="63" t="e">
        <f t="shared" si="83"/>
        <v>#NUM!</v>
      </c>
      <c r="AS71" s="32" t="str">
        <f t="shared" si="58"/>
        <v>-0.000170731707317073</v>
      </c>
      <c r="AT71" s="32" t="str">
        <f t="shared" si="59"/>
        <v>8.09027836845452E-06i</v>
      </c>
      <c r="AU71" s="32">
        <f t="shared" si="84"/>
        <v>8.0902783684545202E-6</v>
      </c>
      <c r="AV71" s="32">
        <f t="shared" si="85"/>
        <v>1.5707963267948966</v>
      </c>
      <c r="AW71" s="32" t="str">
        <f t="shared" si="60"/>
        <v>1+0.00172248973794851i</v>
      </c>
      <c r="AX71" s="32">
        <f t="shared" si="86"/>
        <v>1.0000014834843483</v>
      </c>
      <c r="AY71" s="32">
        <f t="shared" si="87"/>
        <v>1.7224880344259015E-3</v>
      </c>
      <c r="AZ71" s="32" t="str">
        <f t="shared" si="61"/>
        <v>1+0.0327273050210217i</v>
      </c>
      <c r="BA71" s="32">
        <f t="shared" si="88"/>
        <v>1.0005353949231077</v>
      </c>
      <c r="BB71" s="32">
        <f t="shared" si="89"/>
        <v>3.2715628041893687E-2</v>
      </c>
      <c r="BC71" s="60" t="str">
        <f t="shared" si="90"/>
        <v>-0.654302497592792+21.1044438178906i</v>
      </c>
      <c r="BD71" s="51">
        <f t="shared" si="91"/>
        <v>26.491650617783957</v>
      </c>
      <c r="BE71" s="63">
        <f t="shared" si="92"/>
        <v>91.775776116285954</v>
      </c>
      <c r="BF71" s="60" t="str">
        <f t="shared" si="93"/>
        <v>40.5952802562874+487.187402071897i</v>
      </c>
      <c r="BG71" s="66">
        <f t="shared" si="94"/>
        <v>53.783970678227</v>
      </c>
      <c r="BH71" s="63">
        <f t="shared" si="95"/>
        <v>85.236786934286712</v>
      </c>
      <c r="BI71" s="60" t="e">
        <f t="shared" si="101"/>
        <v>#NUM!</v>
      </c>
      <c r="BJ71" s="66" t="e">
        <f t="shared" si="97"/>
        <v>#NUM!</v>
      </c>
      <c r="BK71" s="63" t="e">
        <f t="shared" si="102"/>
        <v>#NUM!</v>
      </c>
      <c r="BL71" s="51">
        <f t="shared" si="99"/>
        <v>53.783970678227</v>
      </c>
      <c r="BM71" s="63">
        <f t="shared" si="100"/>
        <v>85.236786934286712</v>
      </c>
    </row>
    <row r="72" spans="1:65" x14ac:dyDescent="0.3">
      <c r="A72" s="32"/>
      <c r="B72" s="32">
        <f>B71/(2*PI())</f>
        <v>159154.94309189534</v>
      </c>
      <c r="C72" s="32" t="s">
        <v>67</v>
      </c>
      <c r="N72" s="11">
        <v>54</v>
      </c>
      <c r="O72" s="52">
        <f t="shared" si="62"/>
        <v>34.67368504525318</v>
      </c>
      <c r="P72" s="50" t="str">
        <f t="shared" si="50"/>
        <v>23.3035714285714</v>
      </c>
      <c r="Q72" s="18" t="str">
        <f t="shared" si="51"/>
        <v>1+0.116711350940414i</v>
      </c>
      <c r="R72" s="18">
        <f t="shared" si="63"/>
        <v>1.0067877330591273</v>
      </c>
      <c r="S72" s="18">
        <f t="shared" si="64"/>
        <v>0.11618571089151233</v>
      </c>
      <c r="T72" s="18" t="str">
        <f t="shared" si="52"/>
        <v>1+0.000217861188422107i</v>
      </c>
      <c r="U72" s="18">
        <f t="shared" si="65"/>
        <v>1.0000000237317483</v>
      </c>
      <c r="V72" s="18">
        <f t="shared" si="66"/>
        <v>2.1786118497528912E-4</v>
      </c>
      <c r="W72" s="32" t="str">
        <f t="shared" si="53"/>
        <v>1-0.000532549571698484i</v>
      </c>
      <c r="X72" s="18">
        <f t="shared" si="67"/>
        <v>1.000000141804513</v>
      </c>
      <c r="Y72" s="18">
        <f t="shared" si="68"/>
        <v>-5.3254952135320052E-4</v>
      </c>
      <c r="Z72" s="32" t="str">
        <f t="shared" si="54"/>
        <v>0.999999995190942+0.000261373514279712i</v>
      </c>
      <c r="AA72" s="18">
        <f t="shared" si="69"/>
        <v>1.0000000293489983</v>
      </c>
      <c r="AB72" s="18">
        <f t="shared" si="70"/>
        <v>2.6137350958466496E-4</v>
      </c>
      <c r="AC72" s="68" t="str">
        <f t="shared" si="71"/>
        <v>22.9888603002597-2.69648524168417i</v>
      </c>
      <c r="AD72" s="66">
        <f t="shared" si="72"/>
        <v>27.289692569040636</v>
      </c>
      <c r="AE72" s="63">
        <f t="shared" si="73"/>
        <v>-6.6899567863229796</v>
      </c>
      <c r="AF72" s="51" t="e">
        <f t="shared" si="74"/>
        <v>#NUM!</v>
      </c>
      <c r="AG72" s="51" t="str">
        <f t="shared" si="55"/>
        <v>1-0.163395891316581i</v>
      </c>
      <c r="AH72" s="51">
        <f t="shared" si="75"/>
        <v>1.0132611792125168</v>
      </c>
      <c r="AI72" s="51">
        <f t="shared" si="76"/>
        <v>-0.16196462334330453</v>
      </c>
      <c r="AJ72" s="51" t="str">
        <f t="shared" si="56"/>
        <v>1+0.000217861188422107i</v>
      </c>
      <c r="AK72" s="51">
        <f t="shared" si="77"/>
        <v>1.0000000237317483</v>
      </c>
      <c r="AL72" s="51">
        <f t="shared" si="78"/>
        <v>2.1786118497528912E-4</v>
      </c>
      <c r="AM72" s="51" t="e">
        <f t="shared" si="57"/>
        <v>#NUM!</v>
      </c>
      <c r="AN72" s="51" t="e">
        <f t="shared" si="79"/>
        <v>#NUM!</v>
      </c>
      <c r="AO72" s="51" t="e">
        <f t="shared" si="80"/>
        <v>#NUM!</v>
      </c>
      <c r="AP72" s="60" t="e">
        <f t="shared" si="81"/>
        <v>#NUM!</v>
      </c>
      <c r="AQ72" s="51" t="e">
        <f t="shared" si="82"/>
        <v>#NUM!</v>
      </c>
      <c r="AR72" s="63" t="e">
        <f t="shared" si="83"/>
        <v>#NUM!</v>
      </c>
      <c r="AS72" s="32" t="str">
        <f t="shared" si="58"/>
        <v>-0.000170731707317073</v>
      </c>
      <c r="AT72" s="32" t="str">
        <f t="shared" si="59"/>
        <v>8.27872516004008E-06i</v>
      </c>
      <c r="AU72" s="32">
        <f t="shared" si="84"/>
        <v>8.2787251600400797E-6</v>
      </c>
      <c r="AV72" s="32">
        <f t="shared" si="85"/>
        <v>1.5707963267948966</v>
      </c>
      <c r="AW72" s="32" t="str">
        <f t="shared" si="60"/>
        <v>1+0.00176261167811822i</v>
      </c>
      <c r="AX72" s="32">
        <f t="shared" si="86"/>
        <v>1.0000015533987574</v>
      </c>
      <c r="AY72" s="32">
        <f t="shared" si="87"/>
        <v>1.7626098527610112E-3</v>
      </c>
      <c r="AZ72" s="32" t="str">
        <f t="shared" si="61"/>
        <v>1+0.0334896218842463i</v>
      </c>
      <c r="BA72" s="32">
        <f t="shared" si="88"/>
        <v>1.0005606202394484</v>
      </c>
      <c r="BB72" s="32">
        <f t="shared" si="89"/>
        <v>3.3477110154287983E-2</v>
      </c>
      <c r="BC72" s="60" t="str">
        <f t="shared" si="90"/>
        <v>-0.654302406102594+20.6240999324577i</v>
      </c>
      <c r="BD72" s="51">
        <f t="shared" si="91"/>
        <v>26.291868994824835</v>
      </c>
      <c r="BE72" s="63">
        <f t="shared" si="92"/>
        <v>91.81710701664386</v>
      </c>
      <c r="BF72" s="60" t="str">
        <f t="shared" si="93"/>
        <v>40.5709144828754+475.88886894752i</v>
      </c>
      <c r="BG72" s="66">
        <f t="shared" si="94"/>
        <v>53.581561563865478</v>
      </c>
      <c r="BH72" s="63">
        <f t="shared" si="95"/>
        <v>85.127150230320879</v>
      </c>
      <c r="BI72" s="60" t="e">
        <f t="shared" si="101"/>
        <v>#NUM!</v>
      </c>
      <c r="BJ72" s="66" t="e">
        <f t="shared" si="97"/>
        <v>#NUM!</v>
      </c>
      <c r="BK72" s="63" t="e">
        <f t="shared" si="102"/>
        <v>#NUM!</v>
      </c>
      <c r="BL72" s="51">
        <f t="shared" si="99"/>
        <v>53.581561563865478</v>
      </c>
      <c r="BM72" s="63">
        <f t="shared" si="100"/>
        <v>85.127150230320879</v>
      </c>
    </row>
    <row r="73" spans="1:65" x14ac:dyDescent="0.3">
      <c r="A73" s="32" t="s">
        <v>479</v>
      </c>
      <c r="B73" s="32" t="e">
        <f>2*Fsw/(DC_VIN_var_DCM)</f>
        <v>#NUM!</v>
      </c>
      <c r="C73" s="32" t="s">
        <v>392</v>
      </c>
      <c r="N73" s="11">
        <v>55</v>
      </c>
      <c r="O73" s="52">
        <f t="shared" si="62"/>
        <v>35.481338923357555</v>
      </c>
      <c r="P73" s="50" t="str">
        <f t="shared" si="50"/>
        <v>23.3035714285714</v>
      </c>
      <c r="Q73" s="18" t="str">
        <f t="shared" si="51"/>
        <v>1+0.119429907536946i</v>
      </c>
      <c r="R73" s="18">
        <f t="shared" si="63"/>
        <v>1.0071065002343513</v>
      </c>
      <c r="S73" s="18">
        <f t="shared" si="64"/>
        <v>0.11886688850588985</v>
      </c>
      <c r="T73" s="18" t="str">
        <f t="shared" si="52"/>
        <v>1+0.000222935827402299i</v>
      </c>
      <c r="U73" s="18">
        <f t="shared" si="65"/>
        <v>1.0000000248501912</v>
      </c>
      <c r="V73" s="18">
        <f t="shared" si="66"/>
        <v>2.2293582370896709E-4</v>
      </c>
      <c r="W73" s="32" t="str">
        <f t="shared" si="53"/>
        <v>1-0.000544954244761175i</v>
      </c>
      <c r="X73" s="18">
        <f t="shared" si="67"/>
        <v>1.0000001484875534</v>
      </c>
      <c r="Y73" s="18">
        <f t="shared" si="68"/>
        <v>-5.4495419081523227E-4</v>
      </c>
      <c r="Z73" s="32" t="str">
        <f t="shared" si="54"/>
        <v>0.999999994964298+0.000267461685530223i</v>
      </c>
      <c r="AA73" s="18">
        <f t="shared" si="69"/>
        <v>1.0000000307321744</v>
      </c>
      <c r="AB73" s="18">
        <f t="shared" si="70"/>
        <v>2.6746168049938951E-4</v>
      </c>
      <c r="AC73" s="68" t="str">
        <f t="shared" si="71"/>
        <v>22.9742370011949-2.75754799234309i</v>
      </c>
      <c r="AD73" s="66">
        <f t="shared" si="72"/>
        <v>27.286942950569507</v>
      </c>
      <c r="AE73" s="63">
        <f t="shared" si="73"/>
        <v>-6.8443457540745856</v>
      </c>
      <c r="AF73" s="51" t="e">
        <f t="shared" si="74"/>
        <v>#NUM!</v>
      </c>
      <c r="AG73" s="51" t="str">
        <f t="shared" si="55"/>
        <v>1-0.167201870551725i</v>
      </c>
      <c r="AH73" s="51">
        <f t="shared" si="75"/>
        <v>1.0138818794691993</v>
      </c>
      <c r="AI73" s="51">
        <f t="shared" si="76"/>
        <v>-0.16566937109184737</v>
      </c>
      <c r="AJ73" s="51" t="str">
        <f t="shared" si="56"/>
        <v>1+0.000222935827402299i</v>
      </c>
      <c r="AK73" s="51">
        <f t="shared" si="77"/>
        <v>1.0000000248501912</v>
      </c>
      <c r="AL73" s="51">
        <f t="shared" si="78"/>
        <v>2.2293582370896709E-4</v>
      </c>
      <c r="AM73" s="51" t="e">
        <f t="shared" si="57"/>
        <v>#NUM!</v>
      </c>
      <c r="AN73" s="51" t="e">
        <f t="shared" si="79"/>
        <v>#NUM!</v>
      </c>
      <c r="AO73" s="51" t="e">
        <f t="shared" si="80"/>
        <v>#NUM!</v>
      </c>
      <c r="AP73" s="60" t="e">
        <f t="shared" si="81"/>
        <v>#NUM!</v>
      </c>
      <c r="AQ73" s="51" t="e">
        <f t="shared" si="82"/>
        <v>#NUM!</v>
      </c>
      <c r="AR73" s="63" t="e">
        <f t="shared" si="83"/>
        <v>#NUM!</v>
      </c>
      <c r="AS73" s="32" t="str">
        <f t="shared" si="58"/>
        <v>-0.000170731707317073</v>
      </c>
      <c r="AT73" s="32" t="str">
        <f t="shared" si="59"/>
        <v>8.47156144128738E-06i</v>
      </c>
      <c r="AU73" s="32">
        <f t="shared" si="84"/>
        <v>8.4715614412873793E-6</v>
      </c>
      <c r="AV73" s="32">
        <f t="shared" si="85"/>
        <v>1.5707963267948966</v>
      </c>
      <c r="AW73" s="32" t="str">
        <f t="shared" si="60"/>
        <v>1+0.0018036681783306i</v>
      </c>
      <c r="AX73" s="32">
        <f t="shared" si="86"/>
        <v>1.000001626608126</v>
      </c>
      <c r="AY73" s="32">
        <f t="shared" si="87"/>
        <v>1.8036662224252837E-3</v>
      </c>
      <c r="AZ73" s="32" t="str">
        <f t="shared" si="61"/>
        <v>1+0.0342696953882814i</v>
      </c>
      <c r="BA73" s="32">
        <f t="shared" si="88"/>
        <v>1.0005870337067164</v>
      </c>
      <c r="BB73" s="32">
        <f t="shared" si="89"/>
        <v>3.4256289252858729E-2</v>
      </c>
      <c r="BC73" s="60" t="str">
        <f t="shared" si="90"/>
        <v>-0.654302310300622+20.1546912177858i</v>
      </c>
      <c r="BD73" s="51">
        <f t="shared" si="91"/>
        <v>26.092097651824503</v>
      </c>
      <c r="BE73" s="63">
        <f t="shared" si="92"/>
        <v>91.859398333772901</v>
      </c>
      <c r="BF73" s="60" t="str">
        <f t="shared" si="93"/>
        <v>40.5454319566243+464.842922745467i</v>
      </c>
      <c r="BG73" s="66">
        <f t="shared" si="94"/>
        <v>53.379040602394014</v>
      </c>
      <c r="BH73" s="63">
        <f t="shared" si="95"/>
        <v>85.015052579698306</v>
      </c>
      <c r="BI73" s="60" t="e">
        <f t="shared" si="101"/>
        <v>#NUM!</v>
      </c>
      <c r="BJ73" s="66" t="e">
        <f t="shared" si="97"/>
        <v>#NUM!</v>
      </c>
      <c r="BK73" s="63" t="e">
        <f t="shared" si="102"/>
        <v>#NUM!</v>
      </c>
      <c r="BL73" s="51">
        <f t="shared" si="99"/>
        <v>53.379040602394014</v>
      </c>
      <c r="BM73" s="63">
        <f t="shared" si="100"/>
        <v>85.015052579698306</v>
      </c>
    </row>
    <row r="74" spans="1:65" x14ac:dyDescent="0.3">
      <c r="A74" s="32"/>
      <c r="B74" s="32" t="e">
        <f>B73/(2*PI())</f>
        <v>#NUM!</v>
      </c>
      <c r="C74" s="32" t="s">
        <v>67</v>
      </c>
      <c r="N74" s="11">
        <v>56</v>
      </c>
      <c r="O74" s="52">
        <f t="shared" si="62"/>
        <v>36.307805477010156</v>
      </c>
      <c r="P74" s="50" t="str">
        <f t="shared" si="50"/>
        <v>23.3035714285714</v>
      </c>
      <c r="Q74" s="18" t="str">
        <f t="shared" si="51"/>
        <v>1+0.122211787451295i</v>
      </c>
      <c r="R74" s="18">
        <f t="shared" si="63"/>
        <v>1.0074401823393984</v>
      </c>
      <c r="S74" s="18">
        <f t="shared" si="64"/>
        <v>0.12160874206067554</v>
      </c>
      <c r="T74" s="18" t="str">
        <f t="shared" si="52"/>
        <v>1+0.000228128669909085i</v>
      </c>
      <c r="U74" s="18">
        <f t="shared" si="65"/>
        <v>1.0000000260213446</v>
      </c>
      <c r="V74" s="18">
        <f t="shared" si="66"/>
        <v>2.2812866595160855E-4</v>
      </c>
      <c r="W74" s="32" t="str">
        <f t="shared" si="53"/>
        <v>1-0.000557647859777764i</v>
      </c>
      <c r="X74" s="18">
        <f t="shared" si="67"/>
        <v>1.0000001554855558</v>
      </c>
      <c r="Y74" s="18">
        <f t="shared" si="68"/>
        <v>-5.5764780197364546E-4</v>
      </c>
      <c r="Z74" s="32" t="str">
        <f t="shared" si="54"/>
        <v>0.999999994726973+0.000273691668506677i</v>
      </c>
      <c r="AA74" s="18">
        <f t="shared" si="69"/>
        <v>1.0000000321805373</v>
      </c>
      <c r="AB74" s="18">
        <f t="shared" si="70"/>
        <v>2.7369166311604168E-4</v>
      </c>
      <c r="AC74" s="68" t="str">
        <f t="shared" si="71"/>
        <v>22.9589443545143-2.81991059475083i</v>
      </c>
      <c r="AD74" s="66">
        <f t="shared" si="72"/>
        <v>27.284065611275707</v>
      </c>
      <c r="AE74" s="63">
        <f t="shared" si="73"/>
        <v>-7.0022291049191221</v>
      </c>
      <c r="AF74" s="51" t="e">
        <f t="shared" si="74"/>
        <v>#NUM!</v>
      </c>
      <c r="AG74" s="51" t="str">
        <f t="shared" si="55"/>
        <v>1-0.171096502431814i</v>
      </c>
      <c r="AH74" s="51">
        <f t="shared" si="75"/>
        <v>1.0145314254099771</v>
      </c>
      <c r="AI74" s="51">
        <f t="shared" si="76"/>
        <v>-0.16945566730400319</v>
      </c>
      <c r="AJ74" s="51" t="str">
        <f t="shared" si="56"/>
        <v>1+0.000228128669909085i</v>
      </c>
      <c r="AK74" s="51">
        <f t="shared" si="77"/>
        <v>1.0000000260213446</v>
      </c>
      <c r="AL74" s="51">
        <f t="shared" si="78"/>
        <v>2.2812866595160855E-4</v>
      </c>
      <c r="AM74" s="51" t="e">
        <f t="shared" si="57"/>
        <v>#NUM!</v>
      </c>
      <c r="AN74" s="51" t="e">
        <f t="shared" si="79"/>
        <v>#NUM!</v>
      </c>
      <c r="AO74" s="51" t="e">
        <f t="shared" si="80"/>
        <v>#NUM!</v>
      </c>
      <c r="AP74" s="60" t="e">
        <f t="shared" si="81"/>
        <v>#NUM!</v>
      </c>
      <c r="AQ74" s="51" t="e">
        <f t="shared" si="82"/>
        <v>#NUM!</v>
      </c>
      <c r="AR74" s="63" t="e">
        <f t="shared" si="83"/>
        <v>#NUM!</v>
      </c>
      <c r="AS74" s="32" t="str">
        <f t="shared" si="58"/>
        <v>-0.000170731707317073</v>
      </c>
      <c r="AT74" s="32" t="str">
        <f t="shared" si="59"/>
        <v>8.66888945654522E-06i</v>
      </c>
      <c r="AU74" s="32">
        <f t="shared" si="84"/>
        <v>8.6688894565452199E-6</v>
      </c>
      <c r="AV74" s="32">
        <f t="shared" si="85"/>
        <v>1.5707963267948966</v>
      </c>
      <c r="AW74" s="32" t="str">
        <f t="shared" si="60"/>
        <v>1+0.0018456810072855i</v>
      </c>
      <c r="AX74" s="32">
        <f t="shared" si="86"/>
        <v>1.0000017032677397</v>
      </c>
      <c r="AY74" s="32">
        <f t="shared" si="87"/>
        <v>1.8456789114953871E-3</v>
      </c>
      <c r="AZ74" s="32" t="str">
        <f t="shared" si="61"/>
        <v>1+0.0350679391384246i</v>
      </c>
      <c r="BA74" s="32">
        <f t="shared" si="88"/>
        <v>1.0006146912550387</v>
      </c>
      <c r="BB74" s="32">
        <f t="shared" si="89"/>
        <v>3.5053574682073096E-2</v>
      </c>
      <c r="BC74" s="60" t="str">
        <f t="shared" si="90"/>
        <v>-0.654302209983675+19.6959687871603i</v>
      </c>
      <c r="BD74" s="51">
        <f t="shared" si="91"/>
        <v>25.892337072122299</v>
      </c>
      <c r="BE74" s="63">
        <f t="shared" si="92"/>
        <v>91.902672274164445</v>
      </c>
      <c r="BF74" s="60" t="str">
        <f t="shared" si="93"/>
        <v>40.5187830267441+454.043725126766i</v>
      </c>
      <c r="BG74" s="66">
        <f t="shared" si="94"/>
        <v>53.176402683398017</v>
      </c>
      <c r="BH74" s="63">
        <f t="shared" si="95"/>
        <v>84.900443169245321</v>
      </c>
      <c r="BI74" s="60" t="e">
        <f t="shared" si="101"/>
        <v>#NUM!</v>
      </c>
      <c r="BJ74" s="66" t="e">
        <f t="shared" si="97"/>
        <v>#NUM!</v>
      </c>
      <c r="BK74" s="63" t="e">
        <f t="shared" si="102"/>
        <v>#NUM!</v>
      </c>
      <c r="BL74" s="51">
        <f t="shared" si="99"/>
        <v>53.176402683398017</v>
      </c>
      <c r="BM74" s="63">
        <f t="shared" si="100"/>
        <v>84.900443169245321</v>
      </c>
    </row>
    <row r="75" spans="1:65" x14ac:dyDescent="0.3">
      <c r="N75" s="11">
        <v>57</v>
      </c>
      <c r="O75" s="52">
        <f t="shared" si="62"/>
        <v>37.15352290971726</v>
      </c>
      <c r="P75" s="50" t="str">
        <f t="shared" si="50"/>
        <v>23.3035714285714</v>
      </c>
      <c r="Q75" s="18" t="str">
        <f t="shared" si="51"/>
        <v>1+0.125058465673015i</v>
      </c>
      <c r="R75" s="18">
        <f t="shared" si="63"/>
        <v>1.00778947198137</v>
      </c>
      <c r="S75" s="18">
        <f t="shared" si="64"/>
        <v>0.12441256033358987</v>
      </c>
      <c r="T75" s="18" t="str">
        <f t="shared" si="52"/>
        <v>1+0.000233442469256296i</v>
      </c>
      <c r="U75" s="18">
        <f t="shared" si="65"/>
        <v>1.0000000272476928</v>
      </c>
      <c r="V75" s="18">
        <f t="shared" si="66"/>
        <v>2.3344246501578363E-4</v>
      </c>
      <c r="W75" s="32" t="str">
        <f t="shared" si="53"/>
        <v>1-0.000570637147070946i</v>
      </c>
      <c r="X75" s="18">
        <f t="shared" si="67"/>
        <v>1.0000001628133635</v>
      </c>
      <c r="Y75" s="18">
        <f t="shared" si="68"/>
        <v>-5.7063708513271753E-4</v>
      </c>
      <c r="Z75" s="32" t="str">
        <f t="shared" si="54"/>
        <v>0.999999994478463+0.00028006676642851i</v>
      </c>
      <c r="AA75" s="18">
        <f t="shared" si="69"/>
        <v>1.0000000336971593</v>
      </c>
      <c r="AB75" s="18">
        <f t="shared" si="70"/>
        <v>2.800667606523402E-4</v>
      </c>
      <c r="AC75" s="68" t="str">
        <f t="shared" si="71"/>
        <v>22.9429526845348-2.88359485674913i</v>
      </c>
      <c r="AD75" s="66">
        <f t="shared" si="72"/>
        <v>27.28105470905615</v>
      </c>
      <c r="AE75" s="63">
        <f t="shared" si="73"/>
        <v>-7.1636810975059344</v>
      </c>
      <c r="AF75" s="51" t="e">
        <f t="shared" si="74"/>
        <v>#NUM!</v>
      </c>
      <c r="AG75" s="51" t="str">
        <f t="shared" si="55"/>
        <v>1-0.175081851942222i</v>
      </c>
      <c r="AH75" s="51">
        <f t="shared" si="75"/>
        <v>1.015211138078931</v>
      </c>
      <c r="AI75" s="51">
        <f t="shared" si="76"/>
        <v>-0.17332508506189859</v>
      </c>
      <c r="AJ75" s="51" t="str">
        <f t="shared" si="56"/>
        <v>1+0.000233442469256296i</v>
      </c>
      <c r="AK75" s="51">
        <f t="shared" si="77"/>
        <v>1.0000000272476928</v>
      </c>
      <c r="AL75" s="51">
        <f t="shared" si="78"/>
        <v>2.3344246501578363E-4</v>
      </c>
      <c r="AM75" s="51" t="e">
        <f t="shared" si="57"/>
        <v>#NUM!</v>
      </c>
      <c r="AN75" s="51" t="e">
        <f t="shared" si="79"/>
        <v>#NUM!</v>
      </c>
      <c r="AO75" s="51" t="e">
        <f t="shared" si="80"/>
        <v>#NUM!</v>
      </c>
      <c r="AP75" s="60" t="e">
        <f t="shared" si="81"/>
        <v>#NUM!</v>
      </c>
      <c r="AQ75" s="51" t="e">
        <f t="shared" si="82"/>
        <v>#NUM!</v>
      </c>
      <c r="AR75" s="63" t="e">
        <f t="shared" si="83"/>
        <v>#NUM!</v>
      </c>
      <c r="AS75" s="32" t="str">
        <f t="shared" si="58"/>
        <v>-0.000170731707317073</v>
      </c>
      <c r="AT75" s="32" t="str">
        <f t="shared" si="59"/>
        <v>8.87081383173924E-06i</v>
      </c>
      <c r="AU75" s="32">
        <f t="shared" si="84"/>
        <v>8.8708138317392393E-6</v>
      </c>
      <c r="AV75" s="32">
        <f t="shared" si="85"/>
        <v>1.5707963267948966</v>
      </c>
      <c r="AW75" s="32" t="str">
        <f t="shared" si="60"/>
        <v>1+0.00188867244074094i</v>
      </c>
      <c r="AX75" s="32">
        <f t="shared" si="86"/>
        <v>1.0000017835402037</v>
      </c>
      <c r="AY75" s="32">
        <f t="shared" si="87"/>
        <v>1.8886701950615904E-3</v>
      </c>
      <c r="AZ75" s="32" t="str">
        <f t="shared" si="61"/>
        <v>1+0.0358847763740778i</v>
      </c>
      <c r="BA75" s="32">
        <f t="shared" si="88"/>
        <v>1.0006436514441179</v>
      </c>
      <c r="BB75" s="32">
        <f t="shared" si="89"/>
        <v>3.5869385116456633E-2</v>
      </c>
      <c r="BC75" s="60" t="str">
        <f t="shared" si="90"/>
        <v>-0.654302104938963+19.2476894198753i</v>
      </c>
      <c r="BD75" s="51">
        <f t="shared" si="91"/>
        <v>25.692587761726621</v>
      </c>
      <c r="BE75" s="63">
        <f t="shared" si="92"/>
        <v>91.946951549833159</v>
      </c>
      <c r="BF75" s="60" t="str">
        <f t="shared" si="93"/>
        <v>40.4909159804509+443.485569831382i</v>
      </c>
      <c r="BG75" s="66">
        <f t="shared" si="94"/>
        <v>52.973642470782771</v>
      </c>
      <c r="BH75" s="63">
        <f t="shared" si="95"/>
        <v>84.78327045232723</v>
      </c>
      <c r="BI75" s="60" t="e">
        <f t="shared" si="101"/>
        <v>#NUM!</v>
      </c>
      <c r="BJ75" s="66" t="e">
        <f t="shared" si="97"/>
        <v>#NUM!</v>
      </c>
      <c r="BK75" s="63" t="e">
        <f t="shared" si="102"/>
        <v>#NUM!</v>
      </c>
      <c r="BL75" s="51">
        <f t="shared" si="99"/>
        <v>52.973642470782771</v>
      </c>
      <c r="BM75" s="63">
        <f t="shared" si="100"/>
        <v>84.78327045232723</v>
      </c>
    </row>
    <row r="76" spans="1:65" x14ac:dyDescent="0.3">
      <c r="N76" s="11">
        <v>58</v>
      </c>
      <c r="O76" s="52">
        <f t="shared" si="62"/>
        <v>38.018939632056139</v>
      </c>
      <c r="P76" s="50" t="str">
        <f t="shared" si="50"/>
        <v>23.3035714285714</v>
      </c>
      <c r="Q76" s="18" t="str">
        <f t="shared" si="51"/>
        <v>1+0.12797145154858i</v>
      </c>
      <c r="R76" s="18">
        <f t="shared" si="63"/>
        <v>1.0081550934312888</v>
      </c>
      <c r="S76" s="18">
        <f t="shared" si="64"/>
        <v>0.1272796535164005</v>
      </c>
      <c r="T76" s="18" t="str">
        <f t="shared" si="52"/>
        <v>1+0.000238880042890683i</v>
      </c>
      <c r="U76" s="18">
        <f t="shared" si="65"/>
        <v>1.0000000285318371</v>
      </c>
      <c r="V76" s="18">
        <f t="shared" si="66"/>
        <v>2.3888003834689211E-4</v>
      </c>
      <c r="W76" s="32" t="str">
        <f t="shared" si="53"/>
        <v>1-0.000583928993732781i</v>
      </c>
      <c r="X76" s="18">
        <f t="shared" si="67"/>
        <v>1.0000001704865205</v>
      </c>
      <c r="Y76" s="18">
        <f t="shared" si="68"/>
        <v>-5.8392892736477411E-4</v>
      </c>
      <c r="Z76" s="32" t="str">
        <f t="shared" si="54"/>
        <v>0.999999994218241+0.000286590359457025i</v>
      </c>
      <c r="AA76" s="18">
        <f t="shared" si="69"/>
        <v>1.0000000352852574</v>
      </c>
      <c r="AB76" s="18">
        <f t="shared" si="70"/>
        <v>2.865903532677475E-4</v>
      </c>
      <c r="AC76" s="68" t="str">
        <f t="shared" si="71"/>
        <v>22.9262310911212-2.94862252289996i</v>
      </c>
      <c r="AD76" s="66">
        <f t="shared" si="72"/>
        <v>27.27790414317823</v>
      </c>
      <c r="AE76" s="63">
        <f t="shared" si="73"/>
        <v>-7.3287772271350216</v>
      </c>
      <c r="AF76" s="51" t="e">
        <f t="shared" si="74"/>
        <v>#NUM!</v>
      </c>
      <c r="AG76" s="51" t="str">
        <f t="shared" si="55"/>
        <v>1-0.179160032168013i</v>
      </c>
      <c r="AH76" s="51">
        <f t="shared" si="75"/>
        <v>1.0159223971969726</v>
      </c>
      <c r="AI76" s="51">
        <f t="shared" si="76"/>
        <v>-0.1772792122749354</v>
      </c>
      <c r="AJ76" s="51" t="str">
        <f t="shared" si="56"/>
        <v>1+0.000238880042890683i</v>
      </c>
      <c r="AK76" s="51">
        <f t="shared" si="77"/>
        <v>1.0000000285318371</v>
      </c>
      <c r="AL76" s="51">
        <f t="shared" si="78"/>
        <v>2.3888003834689211E-4</v>
      </c>
      <c r="AM76" s="51" t="e">
        <f t="shared" si="57"/>
        <v>#NUM!</v>
      </c>
      <c r="AN76" s="51" t="e">
        <f t="shared" si="79"/>
        <v>#NUM!</v>
      </c>
      <c r="AO76" s="51" t="e">
        <f t="shared" si="80"/>
        <v>#NUM!</v>
      </c>
      <c r="AP76" s="60" t="e">
        <f t="shared" si="81"/>
        <v>#NUM!</v>
      </c>
      <c r="AQ76" s="51" t="e">
        <f t="shared" si="82"/>
        <v>#NUM!</v>
      </c>
      <c r="AR76" s="63" t="e">
        <f t="shared" si="83"/>
        <v>#NUM!</v>
      </c>
      <c r="AS76" s="32" t="str">
        <f t="shared" si="58"/>
        <v>-0.000170731707317073</v>
      </c>
      <c r="AT76" s="32" t="str">
        <f t="shared" si="59"/>
        <v>9.07744162984595E-06i</v>
      </c>
      <c r="AU76" s="32">
        <f t="shared" si="84"/>
        <v>9.0774416298459503E-6</v>
      </c>
      <c r="AV76" s="32">
        <f t="shared" si="85"/>
        <v>1.5707963267948966</v>
      </c>
      <c r="AW76" s="32" t="str">
        <f t="shared" si="60"/>
        <v>1+0.00193266527332399i</v>
      </c>
      <c r="AX76" s="32">
        <f t="shared" si="86"/>
        <v>1.0000018675957854</v>
      </c>
      <c r="AY76" s="32">
        <f t="shared" si="87"/>
        <v>1.9326628670354564E-3</v>
      </c>
      <c r="AZ76" s="32" t="str">
        <f t="shared" si="61"/>
        <v>1+0.0367206401931558i</v>
      </c>
      <c r="BA76" s="32">
        <f t="shared" si="88"/>
        <v>1.0006739755865519</v>
      </c>
      <c r="BB76" s="32">
        <f t="shared" si="89"/>
        <v>3.670414876334023E-2</v>
      </c>
      <c r="BC76" s="60" t="str">
        <f t="shared" si="90"/>
        <v>-0.654301994943685+18.8096154322754i</v>
      </c>
      <c r="BD76" s="51">
        <f t="shared" si="91"/>
        <v>25.49285025037301</v>
      </c>
      <c r="BE76" s="63">
        <f t="shared" si="92"/>
        <v>91.992259389256915</v>
      </c>
      <c r="BF76" s="60" t="str">
        <f t="shared" si="93"/>
        <v>40.4617769712334+433.162879734535i</v>
      </c>
      <c r="BG76" s="66">
        <f t="shared" si="94"/>
        <v>52.770754393551243</v>
      </c>
      <c r="BH76" s="63">
        <f t="shared" si="95"/>
        <v>84.663482162121909</v>
      </c>
      <c r="BI76" s="60" t="e">
        <f t="shared" si="101"/>
        <v>#NUM!</v>
      </c>
      <c r="BJ76" s="66" t="e">
        <f t="shared" si="97"/>
        <v>#NUM!</v>
      </c>
      <c r="BK76" s="63" t="e">
        <f t="shared" si="102"/>
        <v>#NUM!</v>
      </c>
      <c r="BL76" s="51">
        <f t="shared" si="99"/>
        <v>52.770754393551243</v>
      </c>
      <c r="BM76" s="63">
        <f t="shared" si="100"/>
        <v>84.663482162121909</v>
      </c>
    </row>
    <row r="77" spans="1:65" x14ac:dyDescent="0.3">
      <c r="N77" s="11">
        <v>59</v>
      </c>
      <c r="O77" s="52">
        <f t="shared" si="62"/>
        <v>38.904514499428053</v>
      </c>
      <c r="P77" s="50" t="str">
        <f t="shared" si="50"/>
        <v>23.3035714285714</v>
      </c>
      <c r="Q77" s="18" t="str">
        <f t="shared" si="51"/>
        <v>1+0.130952289581658i</v>
      </c>
      <c r="R77" s="18">
        <f t="shared" si="63"/>
        <v>1.0085378040245583</v>
      </c>
      <c r="S77" s="18">
        <f t="shared" si="64"/>
        <v>0.13021135313412904</v>
      </c>
      <c r="T77" s="18" t="str">
        <f t="shared" si="52"/>
        <v>1+0.000244444273885762i</v>
      </c>
      <c r="U77" s="18">
        <f t="shared" si="65"/>
        <v>1.0000000298765011</v>
      </c>
      <c r="V77" s="18">
        <f t="shared" si="66"/>
        <v>2.4444426901700238E-4</v>
      </c>
      <c r="W77" s="32" t="str">
        <f t="shared" si="53"/>
        <v>1-0.000597530447276307i</v>
      </c>
      <c r="X77" s="18">
        <f t="shared" si="67"/>
        <v>1.0000001785213017</v>
      </c>
      <c r="Y77" s="18">
        <f t="shared" si="68"/>
        <v>-5.9753037616170701E-4</v>
      </c>
      <c r="Z77" s="32" t="str">
        <f t="shared" si="54"/>
        <v>0.999999993945755+0.000293265906487596i</v>
      </c>
      <c r="AA77" s="18">
        <f t="shared" si="69"/>
        <v>1.0000000369482003</v>
      </c>
      <c r="AB77" s="18">
        <f t="shared" si="70"/>
        <v>2.9326589985566575E-4</v>
      </c>
      <c r="AC77" s="68" t="str">
        <f t="shared" si="71"/>
        <v>22.9087474078768-3.01501523620612i</v>
      </c>
      <c r="AD77" s="66">
        <f t="shared" si="72"/>
        <v>27.274607543644962</v>
      </c>
      <c r="AE77" s="63">
        <f t="shared" si="73"/>
        <v>-7.4975942213540563</v>
      </c>
      <c r="AF77" s="51" t="e">
        <f t="shared" si="74"/>
        <v>#NUM!</v>
      </c>
      <c r="AG77" s="51" t="str">
        <f t="shared" si="55"/>
        <v>1-0.183333205414322i</v>
      </c>
      <c r="AH77" s="51">
        <f t="shared" si="75"/>
        <v>1.0166666435993117</v>
      </c>
      <c r="AI77" s="51">
        <f t="shared" si="76"/>
        <v>-0.18131965064216443</v>
      </c>
      <c r="AJ77" s="51" t="str">
        <f t="shared" si="56"/>
        <v>1+0.000244444273885762i</v>
      </c>
      <c r="AK77" s="51">
        <f t="shared" si="77"/>
        <v>1.0000000298765011</v>
      </c>
      <c r="AL77" s="51">
        <f t="shared" si="78"/>
        <v>2.4444426901700238E-4</v>
      </c>
      <c r="AM77" s="51" t="e">
        <f t="shared" si="57"/>
        <v>#NUM!</v>
      </c>
      <c r="AN77" s="51" t="e">
        <f t="shared" si="79"/>
        <v>#NUM!</v>
      </c>
      <c r="AO77" s="51" t="e">
        <f t="shared" si="80"/>
        <v>#NUM!</v>
      </c>
      <c r="AP77" s="60" t="e">
        <f t="shared" si="81"/>
        <v>#NUM!</v>
      </c>
      <c r="AQ77" s="51" t="e">
        <f t="shared" si="82"/>
        <v>#NUM!</v>
      </c>
      <c r="AR77" s="63" t="e">
        <f t="shared" si="83"/>
        <v>#NUM!</v>
      </c>
      <c r="AS77" s="32" t="str">
        <f t="shared" si="58"/>
        <v>-0.000170731707317073</v>
      </c>
      <c r="AT77" s="32" t="str">
        <f t="shared" si="59"/>
        <v>9.28888240765894E-06i</v>
      </c>
      <c r="AU77" s="32">
        <f t="shared" si="84"/>
        <v>9.2888824076589403E-6</v>
      </c>
      <c r="AV77" s="32">
        <f t="shared" si="85"/>
        <v>1.5707963267948966</v>
      </c>
      <c r="AW77" s="32" t="str">
        <f t="shared" si="60"/>
        <v>1+0.0019776828306168i</v>
      </c>
      <c r="AX77" s="32">
        <f t="shared" si="86"/>
        <v>1.000001955612777</v>
      </c>
      <c r="AY77" s="32">
        <f t="shared" si="87"/>
        <v>1.9776802522324544E-3</v>
      </c>
      <c r="AZ77" s="32" t="str">
        <f t="shared" si="61"/>
        <v>1+0.0375759737817193i</v>
      </c>
      <c r="BA77" s="32">
        <f t="shared" si="88"/>
        <v>1.000705727876904</v>
      </c>
      <c r="BB77" s="32">
        <f t="shared" si="89"/>
        <v>3.7558303569292344E-2</v>
      </c>
      <c r="BC77" s="60" t="str">
        <f t="shared" si="90"/>
        <v>-0.654301879764529+18.3815145517322i</v>
      </c>
      <c r="BD77" s="51">
        <f t="shared" si="91"/>
        <v>25.293125092630561</v>
      </c>
      <c r="BE77" s="63">
        <f t="shared" si="92"/>
        <v>92.038619548512287</v>
      </c>
      <c r="BF77" s="60" t="str">
        <f t="shared" si="93"/>
        <v>40.4313099459925+423.070203976413i</v>
      </c>
      <c r="BG77" s="66">
        <f t="shared" si="94"/>
        <v>52.567732636275515</v>
      </c>
      <c r="BH77" s="63">
        <f t="shared" si="95"/>
        <v>84.541025327158238</v>
      </c>
      <c r="BI77" s="60" t="e">
        <f t="shared" si="101"/>
        <v>#NUM!</v>
      </c>
      <c r="BJ77" s="66" t="e">
        <f t="shared" si="97"/>
        <v>#NUM!</v>
      </c>
      <c r="BK77" s="63" t="e">
        <f t="shared" si="102"/>
        <v>#NUM!</v>
      </c>
      <c r="BL77" s="51">
        <f t="shared" si="99"/>
        <v>52.567732636275515</v>
      </c>
      <c r="BM77" s="63">
        <f t="shared" si="100"/>
        <v>84.541025327158238</v>
      </c>
    </row>
    <row r="78" spans="1:65" x14ac:dyDescent="0.3">
      <c r="N78" s="11">
        <v>60</v>
      </c>
      <c r="O78" s="52">
        <f t="shared" si="62"/>
        <v>39.810717055349755</v>
      </c>
      <c r="P78" s="50" t="str">
        <f t="shared" si="50"/>
        <v>23.3035714285714</v>
      </c>
      <c r="Q78" s="18" t="str">
        <f t="shared" si="51"/>
        <v>1+0.13400256025203i</v>
      </c>
      <c r="R78" s="18">
        <f t="shared" si="63"/>
        <v>1.0089383956189293</v>
      </c>
      <c r="S78" s="18">
        <f t="shared" si="64"/>
        <v>0.13320901192513601</v>
      </c>
      <c r="T78" s="18" t="str">
        <f t="shared" si="52"/>
        <v>1+0.000250138112470457i</v>
      </c>
      <c r="U78" s="18">
        <f t="shared" si="65"/>
        <v>1.0000000312845372</v>
      </c>
      <c r="V78" s="18">
        <f t="shared" si="66"/>
        <v>2.5013810725348708E-4</v>
      </c>
      <c r="W78" s="32" t="str">
        <f t="shared" si="53"/>
        <v>1-0.000611448719372228i</v>
      </c>
      <c r="X78" s="18">
        <f t="shared" si="67"/>
        <v>1.0000001869347508</v>
      </c>
      <c r="Y78" s="18">
        <f t="shared" si="68"/>
        <v>-6.1144864317156202E-4</v>
      </c>
      <c r="Z78" s="32" t="str">
        <f t="shared" si="54"/>
        <v>0.999999993660427+0.000300096946983619i</v>
      </c>
      <c r="AA78" s="18">
        <f t="shared" si="69"/>
        <v>1.0000000386895149</v>
      </c>
      <c r="AB78" s="18">
        <f t="shared" si="70"/>
        <v>3.0009693987737777E-4</v>
      </c>
      <c r="AC78" s="68" t="str">
        <f t="shared" si="71"/>
        <v>22.8904681597683-3.08279449677548i</v>
      </c>
      <c r="AD78" s="66">
        <f t="shared" si="72"/>
        <v>27.271158260200355</v>
      </c>
      <c r="AE78" s="63">
        <f t="shared" si="73"/>
        <v>-7.6702100333196679</v>
      </c>
      <c r="AF78" s="51" t="e">
        <f t="shared" si="74"/>
        <v>#NUM!</v>
      </c>
      <c r="AG78" s="51" t="str">
        <f t="shared" si="55"/>
        <v>1-0.187603584352843i</v>
      </c>
      <c r="AH78" s="51">
        <f t="shared" si="75"/>
        <v>1.0174453817586644</v>
      </c>
      <c r="AI78" s="51">
        <f t="shared" si="76"/>
        <v>-0.18544801451159526</v>
      </c>
      <c r="AJ78" s="51" t="str">
        <f t="shared" si="56"/>
        <v>1+0.000250138112470457i</v>
      </c>
      <c r="AK78" s="51">
        <f t="shared" si="77"/>
        <v>1.0000000312845372</v>
      </c>
      <c r="AL78" s="51">
        <f t="shared" si="78"/>
        <v>2.5013810725348708E-4</v>
      </c>
      <c r="AM78" s="51" t="e">
        <f t="shared" si="57"/>
        <v>#NUM!</v>
      </c>
      <c r="AN78" s="51" t="e">
        <f t="shared" si="79"/>
        <v>#NUM!</v>
      </c>
      <c r="AO78" s="51" t="e">
        <f t="shared" si="80"/>
        <v>#NUM!</v>
      </c>
      <c r="AP78" s="60" t="e">
        <f t="shared" si="81"/>
        <v>#NUM!</v>
      </c>
      <c r="AQ78" s="51" t="e">
        <f t="shared" si="82"/>
        <v>#NUM!</v>
      </c>
      <c r="AR78" s="63" t="e">
        <f t="shared" si="83"/>
        <v>#NUM!</v>
      </c>
      <c r="AS78" s="32" t="str">
        <f t="shared" si="58"/>
        <v>-0.000170731707317073</v>
      </c>
      <c r="AT78" s="32" t="str">
        <f t="shared" si="59"/>
        <v>9.50524827387738E-06i</v>
      </c>
      <c r="AU78" s="32">
        <f t="shared" si="84"/>
        <v>9.5052482738773798E-6</v>
      </c>
      <c r="AV78" s="32">
        <f t="shared" si="85"/>
        <v>1.5707963267948966</v>
      </c>
      <c r="AW78" s="32" t="str">
        <f t="shared" si="60"/>
        <v>1+0.00202374898152414i</v>
      </c>
      <c r="AX78" s="32">
        <f t="shared" si="86"/>
        <v>1.0000020477778735</v>
      </c>
      <c r="AY78" s="32">
        <f t="shared" si="87"/>
        <v>2.0237462187358431E-3</v>
      </c>
      <c r="AZ78" s="32" t="str">
        <f t="shared" si="61"/>
        <v>1+0.0384512306489587i</v>
      </c>
      <c r="BA78" s="32">
        <f t="shared" si="88"/>
        <v>1.000738975526795</v>
      </c>
      <c r="BB78" s="32">
        <f t="shared" si="89"/>
        <v>3.8432297430254281E-2</v>
      </c>
      <c r="BC78" s="60" t="str">
        <f t="shared" si="90"/>
        <v>-0.654301759157191+17.9631597934909i</v>
      </c>
      <c r="BD78" s="51">
        <f t="shared" si="91"/>
        <v>25.093412869059915</v>
      </c>
      <c r="BE78" s="63">
        <f t="shared" si="92"/>
        <v>92.086056322605927</v>
      </c>
      <c r="BF78" s="60" t="str">
        <f t="shared" si="93"/>
        <v>40.3994565712042+413.202215164094i</v>
      </c>
      <c r="BG78" s="66">
        <f t="shared" si="94"/>
        <v>52.36457112926027</v>
      </c>
      <c r="BH78" s="63">
        <f t="shared" si="95"/>
        <v>84.415846289286279</v>
      </c>
      <c r="BI78" s="60" t="e">
        <f t="shared" si="101"/>
        <v>#NUM!</v>
      </c>
      <c r="BJ78" s="66" t="e">
        <f t="shared" si="97"/>
        <v>#NUM!</v>
      </c>
      <c r="BK78" s="63" t="e">
        <f t="shared" si="102"/>
        <v>#NUM!</v>
      </c>
      <c r="BL78" s="51">
        <f t="shared" si="99"/>
        <v>52.36457112926027</v>
      </c>
      <c r="BM78" s="63">
        <f t="shared" si="100"/>
        <v>84.415846289286279</v>
      </c>
    </row>
    <row r="79" spans="1:65" x14ac:dyDescent="0.3">
      <c r="N79" s="11">
        <v>61</v>
      </c>
      <c r="O79" s="52">
        <f t="shared" si="62"/>
        <v>40.738027780411279</v>
      </c>
      <c r="P79" s="50" t="str">
        <f t="shared" si="50"/>
        <v>23.3035714285714</v>
      </c>
      <c r="Q79" s="18" t="str">
        <f t="shared" si="51"/>
        <v>1+0.137123880853582i</v>
      </c>
      <c r="R79" s="18">
        <f t="shared" si="63"/>
        <v>1.0093576961119122</v>
      </c>
      <c r="S79" s="18">
        <f t="shared" si="64"/>
        <v>0.13627400367898757</v>
      </c>
      <c r="T79" s="18" t="str">
        <f t="shared" si="52"/>
        <v>1+0.000255964577593354i</v>
      </c>
      <c r="U79" s="18">
        <f t="shared" si="65"/>
        <v>1.000000032758932</v>
      </c>
      <c r="V79" s="18">
        <f t="shared" si="66"/>
        <v>2.5596457200327002E-4</v>
      </c>
      <c r="W79" s="32" t="str">
        <f t="shared" si="53"/>
        <v>1-0.000625691189672643i</v>
      </c>
      <c r="X79" s="18">
        <f t="shared" si="67"/>
        <v>1.0000001957447133</v>
      </c>
      <c r="Y79" s="18">
        <f t="shared" si="68"/>
        <v>-6.2569110802215919E-4</v>
      </c>
      <c r="Z79" s="32" t="str">
        <f t="shared" si="54"/>
        <v>0.999999993361652+0.000307087102853187i</v>
      </c>
      <c r="AA79" s="18">
        <f t="shared" si="69"/>
        <v>1.0000000405128955</v>
      </c>
      <c r="AB79" s="18">
        <f t="shared" si="70"/>
        <v>3.0708709523871242E-4</v>
      </c>
      <c r="AC79" s="68" t="str">
        <f t="shared" si="71"/>
        <v>22.8713585202779-3.15198161725486i</v>
      </c>
      <c r="AD79" s="66">
        <f t="shared" si="72"/>
        <v>27.267549350971301</v>
      </c>
      <c r="AE79" s="63">
        <f t="shared" si="73"/>
        <v>-7.846703832744212</v>
      </c>
      <c r="AF79" s="51" t="e">
        <f t="shared" si="74"/>
        <v>#NUM!</v>
      </c>
      <c r="AG79" s="51" t="str">
        <f t="shared" si="55"/>
        <v>1-0.191973433195016i</v>
      </c>
      <c r="AH79" s="51">
        <f t="shared" si="75"/>
        <v>1.0182601823957771</v>
      </c>
      <c r="AI79" s="51">
        <f t="shared" si="76"/>
        <v>-0.18966592963055917</v>
      </c>
      <c r="AJ79" s="51" t="str">
        <f t="shared" si="56"/>
        <v>1+0.000255964577593354i</v>
      </c>
      <c r="AK79" s="51">
        <f t="shared" si="77"/>
        <v>1.000000032758932</v>
      </c>
      <c r="AL79" s="51">
        <f t="shared" si="78"/>
        <v>2.5596457200327002E-4</v>
      </c>
      <c r="AM79" s="51" t="e">
        <f t="shared" si="57"/>
        <v>#NUM!</v>
      </c>
      <c r="AN79" s="51" t="e">
        <f t="shared" si="79"/>
        <v>#NUM!</v>
      </c>
      <c r="AO79" s="51" t="e">
        <f t="shared" si="80"/>
        <v>#NUM!</v>
      </c>
      <c r="AP79" s="60" t="e">
        <f t="shared" si="81"/>
        <v>#NUM!</v>
      </c>
      <c r="AQ79" s="51" t="e">
        <f t="shared" si="82"/>
        <v>#NUM!</v>
      </c>
      <c r="AR79" s="63" t="e">
        <f t="shared" si="83"/>
        <v>#NUM!</v>
      </c>
      <c r="AS79" s="32" t="str">
        <f t="shared" si="58"/>
        <v>-0.000170731707317073</v>
      </c>
      <c r="AT79" s="32" t="str">
        <f t="shared" si="59"/>
        <v>9.72665394854745E-06i</v>
      </c>
      <c r="AU79" s="32">
        <f t="shared" si="84"/>
        <v>9.7266539485474499E-6</v>
      </c>
      <c r="AV79" s="32">
        <f t="shared" si="85"/>
        <v>1.5707963267948966</v>
      </c>
      <c r="AW79" s="32" t="str">
        <f t="shared" si="60"/>
        <v>1+0.00207088815092896i</v>
      </c>
      <c r="AX79" s="32">
        <f t="shared" si="86"/>
        <v>1.0000021442865679</v>
      </c>
      <c r="AY79" s="32">
        <f t="shared" si="87"/>
        <v>2.0708851905483069E-3</v>
      </c>
      <c r="AZ79" s="32" t="str">
        <f t="shared" si="61"/>
        <v>1+0.0393468748676504i</v>
      </c>
      <c r="BA79" s="32">
        <f t="shared" si="88"/>
        <v>1.0007737889062895</v>
      </c>
      <c r="BB79" s="32">
        <f t="shared" si="89"/>
        <v>3.9326588405383368E-2</v>
      </c>
      <c r="BC79" s="60" t="str">
        <f t="shared" si="90"/>
        <v>-0.654301632865851+17.5543293403197i</v>
      </c>
      <c r="BD79" s="51">
        <f t="shared" si="91"/>
        <v>24.893714187424148</v>
      </c>
      <c r="BE79" s="63">
        <f t="shared" si="92"/>
        <v>92.134594557002018</v>
      </c>
      <c r="BF79" s="60" t="str">
        <f t="shared" si="93"/>
        <v>40.3661561582472+403.553706644418i</v>
      </c>
      <c r="BG79" s="66">
        <f t="shared" si="94"/>
        <v>52.161263538395431</v>
      </c>
      <c r="BH79" s="63">
        <f t="shared" si="95"/>
        <v>84.287890724257821</v>
      </c>
      <c r="BI79" s="60" t="e">
        <f t="shared" si="101"/>
        <v>#NUM!</v>
      </c>
      <c r="BJ79" s="66" t="e">
        <f t="shared" si="97"/>
        <v>#NUM!</v>
      </c>
      <c r="BK79" s="63" t="e">
        <f t="shared" si="102"/>
        <v>#NUM!</v>
      </c>
      <c r="BL79" s="51">
        <f t="shared" si="99"/>
        <v>52.161263538395431</v>
      </c>
      <c r="BM79" s="63">
        <f t="shared" si="100"/>
        <v>84.287890724257821</v>
      </c>
    </row>
    <row r="80" spans="1:65" x14ac:dyDescent="0.3">
      <c r="N80" s="11">
        <v>62</v>
      </c>
      <c r="O80" s="52">
        <f t="shared" si="62"/>
        <v>41.686938347033561</v>
      </c>
      <c r="P80" s="50" t="str">
        <f t="shared" si="50"/>
        <v>23.3035714285714</v>
      </c>
      <c r="Q80" s="18" t="str">
        <f t="shared" si="51"/>
        <v>1+0.140317906351812i</v>
      </c>
      <c r="R80" s="18">
        <f t="shared" si="63"/>
        <v>1.0097965710196068</v>
      </c>
      <c r="S80" s="18">
        <f t="shared" si="64"/>
        <v>0.13940772302883891</v>
      </c>
      <c r="T80" s="18" t="str">
        <f t="shared" si="52"/>
        <v>1+0.000261926758523383i</v>
      </c>
      <c r="U80" s="18">
        <f t="shared" si="65"/>
        <v>1.0000000343028128</v>
      </c>
      <c r="V80" s="18">
        <f t="shared" si="66"/>
        <v>2.6192675253350009E-4</v>
      </c>
      <c r="W80" s="32" t="str">
        <f t="shared" si="53"/>
        <v>1-0.000640265409723825i</v>
      </c>
      <c r="X80" s="18">
        <f t="shared" si="67"/>
        <v>1.0000002049698764</v>
      </c>
      <c r="Y80" s="18">
        <f t="shared" si="68"/>
        <v>-6.4026532223375628E-4</v>
      </c>
      <c r="Z80" s="32" t="str">
        <f t="shared" si="54"/>
        <v>0.999999993048797+0.000314240080369466i</v>
      </c>
      <c r="AA80" s="18">
        <f t="shared" si="69"/>
        <v>1.0000000424222102</v>
      </c>
      <c r="AB80" s="18">
        <f t="shared" si="70"/>
        <v>3.1424007221040923E-4</v>
      </c>
      <c r="AC80" s="68" t="str">
        <f t="shared" si="71"/>
        <v>22.851382268184-3.22259767485497i</v>
      </c>
      <c r="AD80" s="66">
        <f t="shared" si="72"/>
        <v>27.263773570741296</v>
      </c>
      <c r="AE80" s="63">
        <f t="shared" si="73"/>
        <v>-8.0271559942435555</v>
      </c>
      <c r="AF80" s="51" t="e">
        <f t="shared" si="74"/>
        <v>#NUM!</v>
      </c>
      <c r="AG80" s="51" t="str">
        <f t="shared" si="55"/>
        <v>1-0.196445068892538i</v>
      </c>
      <c r="AH80" s="51">
        <f t="shared" si="75"/>
        <v>1.0191126851787264</v>
      </c>
      <c r="AI80" s="51">
        <f t="shared" si="76"/>
        <v>-0.19397503178109954</v>
      </c>
      <c r="AJ80" s="51" t="str">
        <f t="shared" si="56"/>
        <v>1+0.000261926758523383i</v>
      </c>
      <c r="AK80" s="51">
        <f t="shared" si="77"/>
        <v>1.0000000343028128</v>
      </c>
      <c r="AL80" s="51">
        <f t="shared" si="78"/>
        <v>2.6192675253350009E-4</v>
      </c>
      <c r="AM80" s="51" t="e">
        <f t="shared" si="57"/>
        <v>#NUM!</v>
      </c>
      <c r="AN80" s="51" t="e">
        <f t="shared" si="79"/>
        <v>#NUM!</v>
      </c>
      <c r="AO80" s="51" t="e">
        <f t="shared" si="80"/>
        <v>#NUM!</v>
      </c>
      <c r="AP80" s="60" t="e">
        <f t="shared" si="81"/>
        <v>#NUM!</v>
      </c>
      <c r="AQ80" s="51" t="e">
        <f t="shared" si="82"/>
        <v>#NUM!</v>
      </c>
      <c r="AR80" s="63" t="e">
        <f t="shared" si="83"/>
        <v>#NUM!</v>
      </c>
      <c r="AS80" s="32" t="str">
        <f t="shared" si="58"/>
        <v>-0.000170731707317073</v>
      </c>
      <c r="AT80" s="32" t="str">
        <f t="shared" si="59"/>
        <v>9.95321682388854E-06i</v>
      </c>
      <c r="AU80" s="32">
        <f t="shared" si="84"/>
        <v>9.9532168238885397E-6</v>
      </c>
      <c r="AV80" s="32">
        <f t="shared" si="85"/>
        <v>1.5707963267948966</v>
      </c>
      <c r="AW80" s="32" t="str">
        <f t="shared" si="60"/>
        <v>1+0.00211912533264286i</v>
      </c>
      <c r="AX80" s="32">
        <f t="shared" si="86"/>
        <v>1.0000022453435669</v>
      </c>
      <c r="AY80" s="32">
        <f t="shared" si="87"/>
        <v>2.1191221605382235E-3</v>
      </c>
      <c r="AZ80" s="32" t="str">
        <f t="shared" si="61"/>
        <v>1+0.0402633813202145i</v>
      </c>
      <c r="BA80" s="32">
        <f t="shared" si="88"/>
        <v>1.0008102416918689</v>
      </c>
      <c r="BB80" s="32">
        <f t="shared" si="89"/>
        <v>4.0241644934608752E-2</v>
      </c>
      <c r="BC80" s="60" t="str">
        <f t="shared" si="90"/>
        <v>-0.654301500622636+17.1548064248992i</v>
      </c>
      <c r="BD80" s="51">
        <f t="shared" si="91"/>
        <v>24.69402968395547</v>
      </c>
      <c r="BE80" s="63">
        <f t="shared" si="92"/>
        <v>92.184259659345585</v>
      </c>
      <c r="BF80" s="60" t="str">
        <f t="shared" si="93"/>
        <v>40.331345588093+394.119589846631i</v>
      </c>
      <c r="BG80" s="66">
        <f t="shared" si="94"/>
        <v>51.957803254696763</v>
      </c>
      <c r="BH80" s="63">
        <f t="shared" si="95"/>
        <v>84.157103665102042</v>
      </c>
      <c r="BI80" s="60" t="e">
        <f t="shared" si="101"/>
        <v>#NUM!</v>
      </c>
      <c r="BJ80" s="66" t="e">
        <f t="shared" si="97"/>
        <v>#NUM!</v>
      </c>
      <c r="BK80" s="63" t="e">
        <f t="shared" si="102"/>
        <v>#NUM!</v>
      </c>
      <c r="BL80" s="51">
        <f t="shared" si="99"/>
        <v>51.957803254696763</v>
      </c>
      <c r="BM80" s="63">
        <f t="shared" si="100"/>
        <v>84.157103665102042</v>
      </c>
    </row>
    <row r="81" spans="14:65" x14ac:dyDescent="0.3">
      <c r="N81" s="11">
        <v>63</v>
      </c>
      <c r="O81" s="52">
        <f t="shared" si="62"/>
        <v>42.657951880159267</v>
      </c>
      <c r="P81" s="50" t="str">
        <f t="shared" si="50"/>
        <v>23.3035714285714</v>
      </c>
      <c r="Q81" s="18" t="str">
        <f t="shared" si="51"/>
        <v>1+0.143586330261316i</v>
      </c>
      <c r="R81" s="18">
        <f t="shared" si="63"/>
        <v>1.0102559251189334</v>
      </c>
      <c r="S81" s="18">
        <f t="shared" si="64"/>
        <v>0.14261158519490011</v>
      </c>
      <c r="T81" s="18" t="str">
        <f t="shared" si="52"/>
        <v>1+0.000268027816487791i</v>
      </c>
      <c r="U81" s="18">
        <f t="shared" si="65"/>
        <v>1.0000000359194545</v>
      </c>
      <c r="V81" s="18">
        <f t="shared" si="66"/>
        <v>2.6802781006951586E-4</v>
      </c>
      <c r="W81" s="32" t="str">
        <f t="shared" si="53"/>
        <v>1-0.000655179106970156i</v>
      </c>
      <c r="X81" s="18">
        <f t="shared" si="67"/>
        <v>1.0000002146298081</v>
      </c>
      <c r="Y81" s="18">
        <f t="shared" si="68"/>
        <v>-6.5517901322285942E-4</v>
      </c>
      <c r="Z81" s="32" t="str">
        <f t="shared" si="54"/>
        <v>0.999999992721197+0.000321559672135815i</v>
      </c>
      <c r="AA81" s="18">
        <f t="shared" si="69"/>
        <v>1.0000000444215074</v>
      </c>
      <c r="AB81" s="18">
        <f t="shared" si="70"/>
        <v>3.2155966339322822E-4</v>
      </c>
      <c r="AC81" s="68" t="str">
        <f t="shared" si="71"/>
        <v>22.8305017440921-3.29466345978128i</v>
      </c>
      <c r="AD81" s="66">
        <f t="shared" si="72"/>
        <v>27.259823358854597</v>
      </c>
      <c r="AE81" s="63">
        <f t="shared" si="73"/>
        <v>-8.2116480828863025</v>
      </c>
      <c r="AF81" s="51" t="e">
        <f t="shared" si="74"/>
        <v>#NUM!</v>
      </c>
      <c r="AG81" s="51" t="str">
        <f t="shared" si="55"/>
        <v>1-0.201020862365844i</v>
      </c>
      <c r="AH81" s="51">
        <f t="shared" si="75"/>
        <v>1.0200046015123205</v>
      </c>
      <c r="AI81" s="51">
        <f t="shared" si="76"/>
        <v>-0.19837696529422411</v>
      </c>
      <c r="AJ81" s="51" t="str">
        <f t="shared" si="56"/>
        <v>1+0.000268027816487791i</v>
      </c>
      <c r="AK81" s="51">
        <f t="shared" si="77"/>
        <v>1.0000000359194545</v>
      </c>
      <c r="AL81" s="51">
        <f t="shared" si="78"/>
        <v>2.6802781006951586E-4</v>
      </c>
      <c r="AM81" s="51" t="e">
        <f t="shared" si="57"/>
        <v>#NUM!</v>
      </c>
      <c r="AN81" s="51" t="e">
        <f t="shared" si="79"/>
        <v>#NUM!</v>
      </c>
      <c r="AO81" s="51" t="e">
        <f t="shared" si="80"/>
        <v>#NUM!</v>
      </c>
      <c r="AP81" s="60" t="e">
        <f t="shared" si="81"/>
        <v>#NUM!</v>
      </c>
      <c r="AQ81" s="51" t="e">
        <f t="shared" si="82"/>
        <v>#NUM!</v>
      </c>
      <c r="AR81" s="63" t="e">
        <f t="shared" si="83"/>
        <v>#NUM!</v>
      </c>
      <c r="AS81" s="32" t="str">
        <f t="shared" si="58"/>
        <v>-0.000170731707317073</v>
      </c>
      <c r="AT81" s="32" t="str">
        <f t="shared" si="59"/>
        <v>0.000010185057026536i</v>
      </c>
      <c r="AU81" s="32">
        <f t="shared" si="84"/>
        <v>1.0185057026536E-5</v>
      </c>
      <c r="AV81" s="32">
        <f t="shared" si="85"/>
        <v>1.5707963267948966</v>
      </c>
      <c r="AW81" s="32" t="str">
        <f t="shared" si="60"/>
        <v>1+0.00216848610265806i</v>
      </c>
      <c r="AX81" s="32">
        <f t="shared" si="86"/>
        <v>1.0000023511632248</v>
      </c>
      <c r="AY81" s="32">
        <f t="shared" si="87"/>
        <v>2.1684827036871353E-3</v>
      </c>
      <c r="AZ81" s="32" t="str">
        <f t="shared" si="61"/>
        <v>1+0.0412012359505032i</v>
      </c>
      <c r="BA81" s="32">
        <f t="shared" si="88"/>
        <v>1.0008484110212938</v>
      </c>
      <c r="BB81" s="32">
        <f t="shared" si="89"/>
        <v>4.1177946059895353E-2</v>
      </c>
      <c r="BC81" s="60" t="str">
        <f t="shared" si="90"/>
        <v>-0.654301362147048+16.7643792148894i</v>
      </c>
      <c r="BD81" s="51">
        <f t="shared" si="91"/>
        <v>24.494360024680176</v>
      </c>
      <c r="BE81" s="63">
        <f t="shared" si="92"/>
        <v>92.235077611380959</v>
      </c>
      <c r="BF81" s="60" t="str">
        <f t="shared" si="93"/>
        <v>40.2949592355529+384.894891693705i</v>
      </c>
      <c r="BG81" s="66">
        <f t="shared" si="94"/>
        <v>51.75418338353478</v>
      </c>
      <c r="BH81" s="63">
        <f t="shared" si="95"/>
        <v>84.02342952849466</v>
      </c>
      <c r="BI81" s="60" t="e">
        <f t="shared" si="101"/>
        <v>#NUM!</v>
      </c>
      <c r="BJ81" s="66" t="e">
        <f t="shared" si="97"/>
        <v>#NUM!</v>
      </c>
      <c r="BK81" s="63" t="e">
        <f t="shared" si="102"/>
        <v>#NUM!</v>
      </c>
      <c r="BL81" s="51">
        <f t="shared" si="99"/>
        <v>51.75418338353478</v>
      </c>
      <c r="BM81" s="63">
        <f t="shared" si="100"/>
        <v>84.02342952849466</v>
      </c>
    </row>
    <row r="82" spans="14:65" x14ac:dyDescent="0.3">
      <c r="N82" s="11">
        <v>64</v>
      </c>
      <c r="O82" s="52">
        <f t="shared" si="62"/>
        <v>43.651583224016633</v>
      </c>
      <c r="P82" s="50" t="str">
        <f t="shared" si="50"/>
        <v>23.3035714285714</v>
      </c>
      <c r="Q82" s="18" t="str">
        <f t="shared" si="51"/>
        <v>1+0.146930885543715i</v>
      </c>
      <c r="R82" s="18">
        <f t="shared" si="63"/>
        <v>1.0107367041552713</v>
      </c>
      <c r="S82" s="18">
        <f t="shared" si="64"/>
        <v>0.14588702567535572</v>
      </c>
      <c r="T82" s="18" t="str">
        <f t="shared" si="52"/>
        <v>1+0.000274270986348268i</v>
      </c>
      <c r="U82" s="18">
        <f t="shared" si="65"/>
        <v>1.0000000376122862</v>
      </c>
      <c r="V82" s="18">
        <f t="shared" si="66"/>
        <v>2.7427097947096225E-4</v>
      </c>
      <c r="W82" s="32" t="str">
        <f t="shared" si="53"/>
        <v>1-0.000670440188851322i</v>
      </c>
      <c r="X82" s="18">
        <f t="shared" si="67"/>
        <v>1.0000002247449982</v>
      </c>
      <c r="Y82" s="18">
        <f t="shared" si="68"/>
        <v>-6.7044008839928508E-4</v>
      </c>
      <c r="Z82" s="32" t="str">
        <f t="shared" si="54"/>
        <v>0.999999992378157+0.000329049759096676i</v>
      </c>
      <c r="AA82" s="18">
        <f t="shared" si="69"/>
        <v>1.0000000465150278</v>
      </c>
      <c r="AB82" s="18">
        <f t="shared" si="70"/>
        <v>3.2904974972882567E-4</v>
      </c>
      <c r="AC82" s="68" t="str">
        <f t="shared" si="71"/>
        <v>22.8086778068466-3.36819941988168i</v>
      </c>
      <c r="AD82" s="66">
        <f t="shared" si="72"/>
        <v>27.255690826747845</v>
      </c>
      <c r="AE82" s="63">
        <f t="shared" si="73"/>
        <v>-8.4002628367389409</v>
      </c>
      <c r="AF82" s="51" t="e">
        <f t="shared" si="74"/>
        <v>#NUM!</v>
      </c>
      <c r="AG82" s="51" t="str">
        <f t="shared" si="55"/>
        <v>1-0.205703239761202i</v>
      </c>
      <c r="AH82" s="51">
        <f t="shared" si="75"/>
        <v>1.020937717418773</v>
      </c>
      <c r="AI82" s="51">
        <f t="shared" si="76"/>
        <v>-0.20287338143670935</v>
      </c>
      <c r="AJ82" s="51" t="str">
        <f t="shared" si="56"/>
        <v>1+0.000274270986348268i</v>
      </c>
      <c r="AK82" s="51">
        <f t="shared" si="77"/>
        <v>1.0000000376122862</v>
      </c>
      <c r="AL82" s="51">
        <f t="shared" si="78"/>
        <v>2.7427097947096225E-4</v>
      </c>
      <c r="AM82" s="51" t="e">
        <f t="shared" si="57"/>
        <v>#NUM!</v>
      </c>
      <c r="AN82" s="51" t="e">
        <f t="shared" si="79"/>
        <v>#NUM!</v>
      </c>
      <c r="AO82" s="51" t="e">
        <f t="shared" si="80"/>
        <v>#NUM!</v>
      </c>
      <c r="AP82" s="60" t="e">
        <f t="shared" si="81"/>
        <v>#NUM!</v>
      </c>
      <c r="AQ82" s="51" t="e">
        <f t="shared" si="82"/>
        <v>#NUM!</v>
      </c>
      <c r="AR82" s="63" t="e">
        <f t="shared" si="83"/>
        <v>#NUM!</v>
      </c>
      <c r="AS82" s="32" t="str">
        <f t="shared" si="58"/>
        <v>-0.000170731707317073</v>
      </c>
      <c r="AT82" s="32" t="str">
        <f t="shared" si="59"/>
        <v>0.0000104222974812342i</v>
      </c>
      <c r="AU82" s="32">
        <f t="shared" si="84"/>
        <v>1.04222974812342E-5</v>
      </c>
      <c r="AV82" s="32">
        <f t="shared" si="85"/>
        <v>1.5707963267948966</v>
      </c>
      <c r="AW82" s="32" t="str">
        <f t="shared" si="60"/>
        <v>1+0.00221899663270819i</v>
      </c>
      <c r="AX82" s="32">
        <f t="shared" si="86"/>
        <v>1.0000024619699974</v>
      </c>
      <c r="AY82" s="32">
        <f t="shared" si="87"/>
        <v>2.2189929906457108E-3</v>
      </c>
      <c r="AZ82" s="32" t="str">
        <f t="shared" si="61"/>
        <v>1+0.0421609360214558i</v>
      </c>
      <c r="BA82" s="32">
        <f t="shared" si="88"/>
        <v>1.0008883776556732</v>
      </c>
      <c r="BB82" s="32">
        <f t="shared" si="89"/>
        <v>4.2135981650209424E-2</v>
      </c>
      <c r="BC82" s="60" t="str">
        <f t="shared" si="90"/>
        <v>-0.654301217145366+16.3828407006137i</v>
      </c>
      <c r="BD82" s="51">
        <f t="shared" si="91"/>
        <v>24.294705906804651</v>
      </c>
      <c r="BE82" s="63">
        <f t="shared" si="92"/>
        <v>92.287074981064563</v>
      </c>
      <c r="BF82" s="60" t="str">
        <f t="shared" si="93"/>
        <v>40.2569288933248+375.874752081208i</v>
      </c>
      <c r="BG82" s="66">
        <f t="shared" si="94"/>
        <v>51.550396733552503</v>
      </c>
      <c r="BH82" s="63">
        <f t="shared" si="95"/>
        <v>83.886812144325646</v>
      </c>
      <c r="BI82" s="60" t="e">
        <f t="shared" si="101"/>
        <v>#NUM!</v>
      </c>
      <c r="BJ82" s="66" t="e">
        <f t="shared" si="97"/>
        <v>#NUM!</v>
      </c>
      <c r="BK82" s="63" t="e">
        <f t="shared" si="102"/>
        <v>#NUM!</v>
      </c>
      <c r="BL82" s="51">
        <f t="shared" si="99"/>
        <v>51.550396733552503</v>
      </c>
      <c r="BM82" s="63">
        <f t="shared" si="100"/>
        <v>83.886812144325646</v>
      </c>
    </row>
    <row r="83" spans="14:65" x14ac:dyDescent="0.3">
      <c r="N83" s="11">
        <v>65</v>
      </c>
      <c r="O83" s="52">
        <f t="shared" si="62"/>
        <v>44.668359215096324</v>
      </c>
      <c r="P83" s="50" t="str">
        <f t="shared" ref="P83:P146" si="103">COMPLEX(Adc,0)</f>
        <v>23.3035714285714</v>
      </c>
      <c r="Q83" s="18" t="str">
        <f t="shared" ref="Q83:Q146" si="104">IMSUM(COMPLEX(1,0),IMDIV(COMPLEX(0,2*PI()*O83),COMPLEX(wp_lf,0)))</f>
        <v>1+0.150353345526489i</v>
      </c>
      <c r="R83" s="18">
        <f t="shared" si="63"/>
        <v>1.0112398966175176</v>
      </c>
      <c r="S83" s="18">
        <f t="shared" si="64"/>
        <v>0.14923549988091309</v>
      </c>
      <c r="T83" s="18" t="str">
        <f t="shared" ref="T83:T146" si="105">IMSUM(COMPLEX(1,0),IMDIV(COMPLEX(0,2*PI()*O83),COMPLEX(wz_esr,0)))</f>
        <v>1+0.000280659578316113i</v>
      </c>
      <c r="U83" s="18">
        <f t="shared" si="65"/>
        <v>1.0000000393848987</v>
      </c>
      <c r="V83" s="18">
        <f t="shared" si="66"/>
        <v>2.8065957094694716E-4</v>
      </c>
      <c r="W83" s="32" t="str">
        <f t="shared" ref="W83:W146" si="106">IMSUB(COMPLEX(1,0),IMDIV(COMPLEX(0,2*PI()*O83),COMPLEX(wz_rhp,0)))</f>
        <v>1-0.000686056746994943i</v>
      </c>
      <c r="X83" s="18">
        <f t="shared" si="67"/>
        <v>1.0000002353369024</v>
      </c>
      <c r="Y83" s="18">
        <f t="shared" si="68"/>
        <v>-6.8605663935864761E-4</v>
      </c>
      <c r="Z83" s="32" t="str">
        <f t="shared" ref="Z83:Z146" si="107">IMSUM(COMPLEX(1,0),IMDIV(COMPLEX(0,2*PI()*O83),COMPLEX(Q*(wsl/2),0)),IMDIV(IMPOWER(COMPLEX(0,2*PI()*O83),2),IMPOWER(COMPLEX(wsl/2,0),2)))</f>
        <v>0.999999992018951+0.000336714312595299i</v>
      </c>
      <c r="AA83" s="18">
        <f t="shared" si="69"/>
        <v>1.0000000487072138</v>
      </c>
      <c r="AB83" s="18">
        <f t="shared" si="70"/>
        <v>3.3671430255746644E-4</v>
      </c>
      <c r="AC83" s="68" t="str">
        <f t="shared" si="71"/>
        <v>22.7858697899772-3.44322560131665i</v>
      </c>
      <c r="AD83" s="66">
        <f t="shared" si="72"/>
        <v>27.251367745110077</v>
      </c>
      <c r="AE83" s="63">
        <f t="shared" si="73"/>
        <v>-8.5930841461866105</v>
      </c>
      <c r="AF83" s="51" t="e">
        <f t="shared" si="74"/>
        <v>#NUM!</v>
      </c>
      <c r="AG83" s="51" t="str">
        <f t="shared" ref="AG83:AG146" si="108">IMSUM(COMPLEX(1,0),IMDIV(COMPLEX(0,2*PI()*O83),COMPLEX(wp_lf_DCM,0)))</f>
        <v>1-0.210494683737085i</v>
      </c>
      <c r="AH83" s="51">
        <f t="shared" si="75"/>
        <v>1.021913896510648</v>
      </c>
      <c r="AI83" s="51">
        <f t="shared" si="76"/>
        <v>-0.20746593666404478</v>
      </c>
      <c r="AJ83" s="51" t="str">
        <f t="shared" ref="AJ83:AJ146" si="109">IMSUM(COMPLEX(1,0),IMDIV(COMPLEX(0,2*PI()*O83),COMPLEX(wz1_dcm,0)))</f>
        <v>1+0.000280659578316113i</v>
      </c>
      <c r="AK83" s="51">
        <f t="shared" si="77"/>
        <v>1.0000000393848987</v>
      </c>
      <c r="AL83" s="51">
        <f t="shared" si="78"/>
        <v>2.8065957094694716E-4</v>
      </c>
      <c r="AM83" s="51" t="e">
        <f t="shared" ref="AM83:AM146" si="110">IMSUB(COMPLEX(1,0),IMDIV(COMPLEX(0,2*PI()*O83),COMPLEX(wz2_dcm,0)))</f>
        <v>#NUM!</v>
      </c>
      <c r="AN83" s="51" t="e">
        <f t="shared" si="79"/>
        <v>#NUM!</v>
      </c>
      <c r="AO83" s="51" t="e">
        <f t="shared" si="80"/>
        <v>#NUM!</v>
      </c>
      <c r="AP83" s="60" t="e">
        <f t="shared" si="81"/>
        <v>#NUM!</v>
      </c>
      <c r="AQ83" s="51" t="e">
        <f t="shared" si="82"/>
        <v>#NUM!</v>
      </c>
      <c r="AR83" s="63" t="e">
        <f t="shared" si="83"/>
        <v>#NUM!</v>
      </c>
      <c r="AS83" s="32" t="str">
        <f t="shared" ref="AS83:AS146" si="111">COMPLEX(Adc_ea,0)</f>
        <v>-0.000170731707317073</v>
      </c>
      <c r="AT83" s="32" t="str">
        <f t="shared" ref="AT83:AT146" si="112">COMPLEX(0,2*PI()*O83*wp0_ea)</f>
        <v>0.0000106650639760123i</v>
      </c>
      <c r="AU83" s="32">
        <f t="shared" si="84"/>
        <v>1.06650639760123E-5</v>
      </c>
      <c r="AV83" s="32">
        <f t="shared" si="85"/>
        <v>1.5707963267948966</v>
      </c>
      <c r="AW83" s="32" t="str">
        <f t="shared" ref="AW83:AW146" si="113">IMSUM(COMPLEX(1,0),IMDIV(COMPLEX(0,2*PI()*O83),COMPLEX(wp1_ea,0)))</f>
        <v>1+0.00227068370414489i</v>
      </c>
      <c r="AX83" s="32">
        <f t="shared" si="86"/>
        <v>1.000002577998919</v>
      </c>
      <c r="AY83" s="32">
        <f t="shared" si="87"/>
        <v>2.2706798016051757E-3</v>
      </c>
      <c r="AZ83" s="32" t="str">
        <f t="shared" ref="AZ83:AZ146" si="114">IMSUM(COMPLEX(1,0),IMDIV(COMPLEX(0,2*PI()*O83),COMPLEX(wz_ea,0)))</f>
        <v>1+0.0431429903787529i</v>
      </c>
      <c r="BA83" s="32">
        <f t="shared" si="88"/>
        <v>1.0009302261490665</v>
      </c>
      <c r="BB83" s="32">
        <f t="shared" si="89"/>
        <v>4.3116252630165615E-2</v>
      </c>
      <c r="BC83" s="60" t="str">
        <f t="shared" si="90"/>
        <v>-0.654301065310037+16.0099885852998i</v>
      </c>
      <c r="BD83" s="51">
        <f t="shared" si="91"/>
        <v>24.095068060164849</v>
      </c>
      <c r="BE83" s="63">
        <f t="shared" si="92"/>
        <v>92.340278934870739</v>
      </c>
      <c r="BF83" s="60" t="str">
        <f t="shared" si="93"/>
        <v>40.2171836960937+367.054421422707i</v>
      </c>
      <c r="BG83" s="66">
        <f t="shared" si="94"/>
        <v>51.346435805274936</v>
      </c>
      <c r="BH83" s="63">
        <f t="shared" si="95"/>
        <v>83.747194788684141</v>
      </c>
      <c r="BI83" s="60" t="e">
        <f t="shared" si="101"/>
        <v>#NUM!</v>
      </c>
      <c r="BJ83" s="66" t="e">
        <f t="shared" si="97"/>
        <v>#NUM!</v>
      </c>
      <c r="BK83" s="63" t="e">
        <f t="shared" si="102"/>
        <v>#NUM!</v>
      </c>
      <c r="BL83" s="51">
        <f t="shared" si="99"/>
        <v>51.346435805274936</v>
      </c>
      <c r="BM83" s="63">
        <f t="shared" si="100"/>
        <v>83.747194788684141</v>
      </c>
    </row>
    <row r="84" spans="14:65" x14ac:dyDescent="0.3">
      <c r="N84" s="11">
        <v>66</v>
      </c>
      <c r="O84" s="52">
        <f t="shared" ref="O84:O118" si="115">10^(1+(N84/100))</f>
        <v>45.70881896148753</v>
      </c>
      <c r="P84" s="50" t="str">
        <f t="shared" si="103"/>
        <v>23.3035714285714</v>
      </c>
      <c r="Q84" s="18" t="str">
        <f t="shared" si="104"/>
        <v>1+0.153855524843223i</v>
      </c>
      <c r="R84" s="18">
        <f t="shared" ref="R84:R147" si="116">IMABS(Q84)</f>
        <v>1.0117665355825838</v>
      </c>
      <c r="S84" s="18">
        <f t="shared" ref="S84:S147" si="117">IMARGUMENT(Q84)</f>
        <v>0.15265848270898905</v>
      </c>
      <c r="T84" s="18" t="str">
        <f t="shared" si="105"/>
        <v>1+0.00028719697970735i</v>
      </c>
      <c r="U84" s="18">
        <f t="shared" ref="U84:U147" si="118">IMABS(T84)</f>
        <v>1.0000000412410517</v>
      </c>
      <c r="V84" s="18">
        <f t="shared" ref="V84:V147" si="119">IMARGUMENT(T84)</f>
        <v>2.8719697181114656E-4</v>
      </c>
      <c r="W84" s="32" t="str">
        <f t="shared" si="106"/>
        <v>1-0.000702037061506856i</v>
      </c>
      <c r="X84" s="18">
        <f t="shared" ref="X84:X147" si="120">IMABS(W84)</f>
        <v>1.0000002464279876</v>
      </c>
      <c r="Y84" s="18">
        <f t="shared" ref="Y84:Y147" si="121">IMARGUMENT(W84)</f>
        <v>-7.0203694617248906E-4</v>
      </c>
      <c r="Z84" s="32" t="str">
        <f t="shared" si="107"/>
        <v>0.999999991642816+0.0003445573964794i</v>
      </c>
      <c r="AA84" s="18">
        <f t="shared" ref="AA84:AA147" si="122">IMABS(Z84)</f>
        <v>1.0000000510027145</v>
      </c>
      <c r="AB84" s="18">
        <f t="shared" ref="AB84:AB147" si="123">IMARGUMENT(Z84)</f>
        <v>3.445573857236685E-4</v>
      </c>
      <c r="AC84" s="68" t="str">
        <f t="shared" ref="AC84:AC147" si="124">(IMDIV(IMPRODUCT(P84,T84,W84),IMPRODUCT(Q84,Z84)))</f>
        <v>22.7620354583466-3.5197615850547i</v>
      </c>
      <c r="AD84" s="66">
        <f t="shared" ref="AD84:AD147" si="125">20*LOG(IMABS(AC84))</f>
        <v>27.246845530671095</v>
      </c>
      <c r="AE84" s="63">
        <f t="shared" ref="AE84:AE147" si="126">(180/PI())*IMARGUMENT(AC84)</f>
        <v>-8.7901970298022132</v>
      </c>
      <c r="AF84" s="51" t="e">
        <f t="shared" ref="AF84:AF147" si="127">COMPLEX($B$68,0)</f>
        <v>#NUM!</v>
      </c>
      <c r="AG84" s="51" t="str">
        <f t="shared" si="108"/>
        <v>1-0.215397734780513i</v>
      </c>
      <c r="AH84" s="51">
        <f t="shared" ref="AH84:AH147" si="128">IMABS(AG84)</f>
        <v>1.0229350830568753</v>
      </c>
      <c r="AI84" s="51">
        <f t="shared" ref="AI84:AI147" si="129">IMARGUMENT(AG84)</f>
        <v>-0.21215629073303949</v>
      </c>
      <c r="AJ84" s="51" t="str">
        <f t="shared" si="109"/>
        <v>1+0.00028719697970735i</v>
      </c>
      <c r="AK84" s="51">
        <f t="shared" ref="AK84:AK147" si="130">IMABS(AJ84)</f>
        <v>1.0000000412410517</v>
      </c>
      <c r="AL84" s="51">
        <f t="shared" ref="AL84:AL147" si="131">IMARGUMENT(AJ84)</f>
        <v>2.8719697181114656E-4</v>
      </c>
      <c r="AM84" s="51" t="e">
        <f t="shared" si="110"/>
        <v>#NUM!</v>
      </c>
      <c r="AN84" s="51" t="e">
        <f t="shared" ref="AN84:AN147" si="132">IMABS(AM84)</f>
        <v>#NUM!</v>
      </c>
      <c r="AO84" s="51" t="e">
        <f t="shared" ref="AO84:AO147" si="133">IMARGUMENT(AM84)</f>
        <v>#NUM!</v>
      </c>
      <c r="AP84" s="60" t="e">
        <f t="shared" ref="AP84:AP147" si="134">(IMDIV(IMPRODUCT(AF84,AJ84,AM84),IMPRODUCT(AG84)))</f>
        <v>#NUM!</v>
      </c>
      <c r="AQ84" s="51" t="e">
        <f t="shared" ref="AQ84:AQ147" si="135">20*LOG(IMABS(AP84))</f>
        <v>#NUM!</v>
      </c>
      <c r="AR84" s="63" t="e">
        <f t="shared" ref="AR84:AR147" si="136">(180/PI())*IMARGUMENT(AP84)</f>
        <v>#NUM!</v>
      </c>
      <c r="AS84" s="32" t="str">
        <f t="shared" si="111"/>
        <v>-0.000170731707317073</v>
      </c>
      <c r="AT84" s="32" t="str">
        <f t="shared" si="112"/>
        <v>0.0000109134852288793i</v>
      </c>
      <c r="AU84" s="32">
        <f t="shared" ref="AU84:AU147" si="137">IMABS(AT84)</f>
        <v>1.0913485228879301E-5</v>
      </c>
      <c r="AV84" s="32">
        <f t="shared" ref="AV84:AV147" si="138">IMARGUMENT(AT84)</f>
        <v>1.5707963267948966</v>
      </c>
      <c r="AW84" s="32" t="str">
        <f t="shared" si="113"/>
        <v>1+0.00232357472213757i</v>
      </c>
      <c r="AX84" s="32">
        <f t="shared" ref="AX84:AX147" si="139">IMABS(AW84)</f>
        <v>1.0000026994961011</v>
      </c>
      <c r="AY84" s="32">
        <f t="shared" ref="AY84:AY147" si="140">IMARGUMENT(AW84)</f>
        <v>2.3235705404915366E-3</v>
      </c>
      <c r="AZ84" s="32" t="str">
        <f t="shared" si="114"/>
        <v>1+0.0441479197206139i</v>
      </c>
      <c r="BA84" s="32">
        <f t="shared" ref="BA84:BA147" si="141">IMABS(AZ84)</f>
        <v>1.0009740450259725</v>
      </c>
      <c r="BB84" s="32">
        <f t="shared" ref="BB84:BB147" si="142">IMARGUMENT(AZ84)</f>
        <v>4.411927121233624E-2</v>
      </c>
      <c r="BC84" s="60" t="str">
        <f t="shared" ref="BC84:BC147" si="143">IMPRODUCT(AS84,IMDIV(AZ84,IMPRODUCT(AT84,AW84)))</f>
        <v>-0.654300906319005+15.6456251778185i</v>
      </c>
      <c r="BD84" s="51">
        <f t="shared" ref="BD84:BD147" si="144">20*LOG(IMABS(BC84))</f>
        <v>23.895447248741707</v>
      </c>
      <c r="BE84" s="63">
        <f t="shared" ref="BE84:BE147" si="145">(180/PI())*IMARGUMENT(BC84)</f>
        <v>92.394717250288792</v>
      </c>
      <c r="BF84" s="60" t="str">
        <f t="shared" ref="BF84:BF147" si="146">IMPRODUCT(AC84,BC84)</f>
        <v>40.1756500449887+358.429258260633i</v>
      </c>
      <c r="BG84" s="66">
        <f t="shared" ref="BG84:BG147" si="147">20*LOG(IMABS(BF84))</f>
        <v>51.142292779412799</v>
      </c>
      <c r="BH84" s="63">
        <f t="shared" ref="BH84:BH147" si="148">(180/PI())*IMARGUMENT(BF84)</f>
        <v>83.604520220486592</v>
      </c>
      <c r="BI84" s="60" t="e">
        <f t="shared" si="101"/>
        <v>#NUM!</v>
      </c>
      <c r="BJ84" s="66" t="e">
        <f t="shared" ref="BJ84:BJ147" si="149">20*LOG(IMABS(BI84))</f>
        <v>#NUM!</v>
      </c>
      <c r="BK84" s="63" t="e">
        <f t="shared" si="102"/>
        <v>#NUM!</v>
      </c>
      <c r="BL84" s="51">
        <f t="shared" ref="BL84:BL147" si="150">IF($B$31=0,BJ84,BG84)</f>
        <v>51.142292779412799</v>
      </c>
      <c r="BM84" s="63">
        <f t="shared" ref="BM84:BM147" si="151">IF($B$31=0,BK84,BH84)</f>
        <v>83.604520220486592</v>
      </c>
    </row>
    <row r="85" spans="14:65" x14ac:dyDescent="0.3">
      <c r="N85" s="11">
        <v>67</v>
      </c>
      <c r="O85" s="52">
        <f t="shared" si="115"/>
        <v>46.773514128719818</v>
      </c>
      <c r="P85" s="50" t="str">
        <f t="shared" si="103"/>
        <v>23.3035714285714</v>
      </c>
      <c r="Q85" s="18" t="str">
        <f t="shared" si="104"/>
        <v>1+0.157439280395747i</v>
      </c>
      <c r="R85" s="18">
        <f t="shared" si="116"/>
        <v>1.0123177006313437</v>
      </c>
      <c r="S85" s="18">
        <f t="shared" si="117"/>
        <v>0.15615746805331532</v>
      </c>
      <c r="T85" s="18" t="str">
        <f t="shared" si="105"/>
        <v>1+0.000293886656738729i</v>
      </c>
      <c r="U85" s="18">
        <f t="shared" si="118"/>
        <v>1.0000000431846825</v>
      </c>
      <c r="V85" s="18">
        <f t="shared" si="119"/>
        <v>2.938866482777946E-4</v>
      </c>
      <c r="W85" s="32" t="str">
        <f t="shared" si="106"/>
        <v>1-0.000718389605361338i</v>
      </c>
      <c r="X85" s="18">
        <f t="shared" si="120"/>
        <v>1.0000002580417793</v>
      </c>
      <c r="Y85" s="18">
        <f t="shared" si="121"/>
        <v>-7.1838948177833906E-4</v>
      </c>
      <c r="Z85" s="32" t="str">
        <f t="shared" si="107"/>
        <v>0.999999991248954+0.000352583169255872i</v>
      </c>
      <c r="AA85" s="18">
        <f t="shared" si="122"/>
        <v>1.0000000534063982</v>
      </c>
      <c r="AB85" s="18">
        <f t="shared" si="123"/>
        <v>3.5258315773089818E-4</v>
      </c>
      <c r="AC85" s="68" t="str">
        <f t="shared" si="124"/>
        <v>22.7371309651896-3.59782641899133i</v>
      </c>
      <c r="AD85" s="66">
        <f t="shared" si="125"/>
        <v>27.242115232621419</v>
      </c>
      <c r="AE85" s="63">
        <f t="shared" si="126"/>
        <v>-8.9916876065203049</v>
      </c>
      <c r="AF85" s="51" t="e">
        <f t="shared" si="127"/>
        <v>#NUM!</v>
      </c>
      <c r="AG85" s="51" t="str">
        <f t="shared" si="108"/>
        <v>1-0.220414992554047i</v>
      </c>
      <c r="AH85" s="51">
        <f t="shared" si="128"/>
        <v>1.0240033051424202</v>
      </c>
      <c r="AI85" s="51">
        <f t="shared" si="129"/>
        <v>-0.21694610466753622</v>
      </c>
      <c r="AJ85" s="51" t="str">
        <f t="shared" si="109"/>
        <v>1+0.000293886656738729i</v>
      </c>
      <c r="AK85" s="51">
        <f t="shared" si="130"/>
        <v>1.0000000431846825</v>
      </c>
      <c r="AL85" s="51">
        <f t="shared" si="131"/>
        <v>2.938866482777946E-4</v>
      </c>
      <c r="AM85" s="51" t="e">
        <f t="shared" si="110"/>
        <v>#NUM!</v>
      </c>
      <c r="AN85" s="51" t="e">
        <f t="shared" si="132"/>
        <v>#NUM!</v>
      </c>
      <c r="AO85" s="51" t="e">
        <f t="shared" si="133"/>
        <v>#NUM!</v>
      </c>
      <c r="AP85" s="60" t="e">
        <f t="shared" si="134"/>
        <v>#NUM!</v>
      </c>
      <c r="AQ85" s="51" t="e">
        <f t="shared" si="135"/>
        <v>#NUM!</v>
      </c>
      <c r="AR85" s="63" t="e">
        <f t="shared" si="136"/>
        <v>#NUM!</v>
      </c>
      <c r="AS85" s="32" t="str">
        <f t="shared" si="111"/>
        <v>-0.000170731707317073</v>
      </c>
      <c r="AT85" s="32" t="str">
        <f t="shared" si="112"/>
        <v>0.0000111676929560717i</v>
      </c>
      <c r="AU85" s="32">
        <f t="shared" si="137"/>
        <v>1.11676929560717E-5</v>
      </c>
      <c r="AV85" s="32">
        <f t="shared" si="138"/>
        <v>1.5707963267948966</v>
      </c>
      <c r="AW85" s="32" t="str">
        <f t="shared" si="113"/>
        <v>1+0.00237769773020407i</v>
      </c>
      <c r="AX85" s="32">
        <f t="shared" si="139"/>
        <v>1.0000028267192529</v>
      </c>
      <c r="AY85" s="32">
        <f t="shared" si="140"/>
        <v>2.3776932494903018E-3</v>
      </c>
      <c r="AZ85" s="32" t="str">
        <f t="shared" si="114"/>
        <v>1+0.0451762568738774i</v>
      </c>
      <c r="BA85" s="32">
        <f t="shared" si="141"/>
        <v>1.0010199269670583</v>
      </c>
      <c r="BB85" s="32">
        <f t="shared" si="142"/>
        <v>4.5145561133187836E-2</v>
      </c>
      <c r="BC85" s="60" t="str">
        <f t="shared" si="143"/>
        <v>-0.654300739835039+15.289557287866i</v>
      </c>
      <c r="BD85" s="51">
        <f t="shared" si="144"/>
        <v>23.695844272246632</v>
      </c>
      <c r="BE85" s="63">
        <f t="shared" si="145"/>
        <v>92.450418328508974</v>
      </c>
      <c r="BF85" s="60" t="str">
        <f t="shared" si="146"/>
        <v>40.132251532716+349.994726941722i</v>
      </c>
      <c r="BG85" s="66">
        <f t="shared" si="147"/>
        <v>50.93795950486804</v>
      </c>
      <c r="BH85" s="63">
        <f t="shared" si="148"/>
        <v>83.458730721988658</v>
      </c>
      <c r="BI85" s="60" t="e">
        <f t="shared" si="101"/>
        <v>#NUM!</v>
      </c>
      <c r="BJ85" s="66" t="e">
        <f t="shared" si="149"/>
        <v>#NUM!</v>
      </c>
      <c r="BK85" s="63" t="e">
        <f t="shared" si="102"/>
        <v>#NUM!</v>
      </c>
      <c r="BL85" s="51">
        <f t="shared" si="150"/>
        <v>50.93795950486804</v>
      </c>
      <c r="BM85" s="63">
        <f t="shared" si="151"/>
        <v>83.458730721988658</v>
      </c>
    </row>
    <row r="86" spans="14:65" x14ac:dyDescent="0.3">
      <c r="N86" s="11">
        <v>68</v>
      </c>
      <c r="O86" s="52">
        <f t="shared" si="115"/>
        <v>47.863009232263877</v>
      </c>
      <c r="P86" s="50" t="str">
        <f t="shared" si="103"/>
        <v>23.3035714285714</v>
      </c>
      <c r="Q86" s="18" t="str">
        <f t="shared" si="104"/>
        <v>1+0.161106512338693i</v>
      </c>
      <c r="R86" s="18">
        <f t="shared" si="116"/>
        <v>1.0128945198380419</v>
      </c>
      <c r="S86" s="18">
        <f t="shared" si="117"/>
        <v>0.15973396824457331</v>
      </c>
      <c r="T86" s="18" t="str">
        <f t="shared" si="105"/>
        <v>1+0.000300732156365561i</v>
      </c>
      <c r="U86" s="18">
        <f t="shared" si="118"/>
        <v>1.0000000452199138</v>
      </c>
      <c r="V86" s="18">
        <f t="shared" si="119"/>
        <v>3.0073214729950647E-4</v>
      </c>
      <c r="W86" s="32" t="str">
        <f t="shared" si="106"/>
        <v>1-0.000735123048893594i</v>
      </c>
      <c r="X86" s="18">
        <f t="shared" si="120"/>
        <v>1.000000270202912</v>
      </c>
      <c r="Y86" s="18">
        <f t="shared" si="121"/>
        <v>-7.3512291647202669E-4</v>
      </c>
      <c r="Z86" s="32" t="str">
        <f t="shared" si="107"/>
        <v>0.999999990836529+0.000360795886295673i</v>
      </c>
      <c r="AA86" s="18">
        <f t="shared" si="122"/>
        <v>1.0000000559233633</v>
      </c>
      <c r="AB86" s="18">
        <f t="shared" si="123"/>
        <v>3.6079587394644138E-4</v>
      </c>
      <c r="AC86" s="68" t="str">
        <f t="shared" si="124"/>
        <v>22.7111108097523-3.67743854548956i</v>
      </c>
      <c r="AD86" s="66">
        <f t="shared" si="125"/>
        <v>27.237167518667754</v>
      </c>
      <c r="AE86" s="63">
        <f t="shared" si="126"/>
        <v>-9.1976430638666553</v>
      </c>
      <c r="AF86" s="51" t="e">
        <f t="shared" si="127"/>
        <v>#NUM!</v>
      </c>
      <c r="AG86" s="51" t="str">
        <f t="shared" si="108"/>
        <v>1-0.225549117274171i</v>
      </c>
      <c r="AH86" s="51">
        <f t="shared" si="128"/>
        <v>1.0251206779219497</v>
      </c>
      <c r="AI86" s="51">
        <f t="shared" si="129"/>
        <v>-0.22183703857070031</v>
      </c>
      <c r="AJ86" s="51" t="str">
        <f t="shared" si="109"/>
        <v>1+0.000300732156365561i</v>
      </c>
      <c r="AK86" s="51">
        <f t="shared" si="130"/>
        <v>1.0000000452199138</v>
      </c>
      <c r="AL86" s="51">
        <f t="shared" si="131"/>
        <v>3.0073214729950647E-4</v>
      </c>
      <c r="AM86" s="51" t="e">
        <f t="shared" si="110"/>
        <v>#NUM!</v>
      </c>
      <c r="AN86" s="51" t="e">
        <f t="shared" si="132"/>
        <v>#NUM!</v>
      </c>
      <c r="AO86" s="51" t="e">
        <f t="shared" si="133"/>
        <v>#NUM!</v>
      </c>
      <c r="AP86" s="60" t="e">
        <f t="shared" si="134"/>
        <v>#NUM!</v>
      </c>
      <c r="AQ86" s="51" t="e">
        <f t="shared" si="135"/>
        <v>#NUM!</v>
      </c>
      <c r="AR86" s="63" t="e">
        <f t="shared" si="136"/>
        <v>#NUM!</v>
      </c>
      <c r="AS86" s="32" t="str">
        <f t="shared" si="111"/>
        <v>-0.000170731707317073</v>
      </c>
      <c r="AT86" s="32" t="str">
        <f t="shared" si="112"/>
        <v>0.0000114278219418913i</v>
      </c>
      <c r="AU86" s="32">
        <f t="shared" si="137"/>
        <v>1.14278219418913E-5</v>
      </c>
      <c r="AV86" s="32">
        <f t="shared" si="138"/>
        <v>1.5707963267948966</v>
      </c>
      <c r="AW86" s="32" t="str">
        <f t="shared" si="113"/>
        <v>1+0.00243308142507968i</v>
      </c>
      <c r="AX86" s="32">
        <f t="shared" si="139"/>
        <v>1.0000029599382299</v>
      </c>
      <c r="AY86" s="32">
        <f t="shared" si="140"/>
        <v>2.4330766239091433E-3</v>
      </c>
      <c r="AZ86" s="32" t="str">
        <f t="shared" si="114"/>
        <v>1+0.0462285470765141i</v>
      </c>
      <c r="BA86" s="32">
        <f t="shared" si="141"/>
        <v>1.0010679690035065</v>
      </c>
      <c r="BB86" s="32">
        <f t="shared" si="142"/>
        <v>4.6195657892607531E-2</v>
      </c>
      <c r="BC86" s="60" t="str">
        <f t="shared" si="143"/>
        <v>-0.654300565505018+14.9415961235314i</v>
      </c>
      <c r="BD86" s="51">
        <f t="shared" si="144"/>
        <v>23.496259967778808</v>
      </c>
      <c r="BE86" s="63">
        <f t="shared" si="145"/>
        <v>92.507411207294695</v>
      </c>
      <c r="BF86" s="60" t="str">
        <f t="shared" si="146"/>
        <v>40.0869088697437+341.746395356011i</v>
      </c>
      <c r="BG86" s="66">
        <f t="shared" si="147"/>
        <v>50.733427486446566</v>
      </c>
      <c r="BH86" s="63">
        <f t="shared" si="148"/>
        <v>83.309768143428045</v>
      </c>
      <c r="BI86" s="60" t="e">
        <f t="shared" si="101"/>
        <v>#NUM!</v>
      </c>
      <c r="BJ86" s="66" t="e">
        <f t="shared" si="149"/>
        <v>#NUM!</v>
      </c>
      <c r="BK86" s="63" t="e">
        <f t="shared" si="102"/>
        <v>#NUM!</v>
      </c>
      <c r="BL86" s="51">
        <f t="shared" si="150"/>
        <v>50.733427486446566</v>
      </c>
      <c r="BM86" s="63">
        <f t="shared" si="151"/>
        <v>83.309768143428045</v>
      </c>
    </row>
    <row r="87" spans="14:65" x14ac:dyDescent="0.3">
      <c r="N87" s="11">
        <v>69</v>
      </c>
      <c r="O87" s="52">
        <f t="shared" si="115"/>
        <v>48.977881936844632</v>
      </c>
      <c r="P87" s="50" t="str">
        <f t="shared" si="103"/>
        <v>23.3035714285714</v>
      </c>
      <c r="Q87" s="18" t="str">
        <f t="shared" si="104"/>
        <v>1+0.164859165086978i</v>
      </c>
      <c r="R87" s="18">
        <f t="shared" si="116"/>
        <v>1.0134981718351423</v>
      </c>
      <c r="S87" s="18">
        <f t="shared" si="117"/>
        <v>0.16338951341744276</v>
      </c>
      <c r="T87" s="18" t="str">
        <f t="shared" si="105"/>
        <v>1+0.000307737108162359i</v>
      </c>
      <c r="U87" s="18">
        <f t="shared" si="118"/>
        <v>1.0000000473510626</v>
      </c>
      <c r="V87" s="18">
        <f t="shared" si="119"/>
        <v>3.0773709844790655E-4</v>
      </c>
      <c r="W87" s="32" t="str">
        <f t="shared" si="106"/>
        <v>1-0.000752246264396878i</v>
      </c>
      <c r="X87" s="18">
        <f t="shared" si="120"/>
        <v>1.000000282937181</v>
      </c>
      <c r="Y87" s="18">
        <f t="shared" si="121"/>
        <v>-7.5224612250461445E-4</v>
      </c>
      <c r="Z87" s="32" t="str">
        <f t="shared" si="107"/>
        <v>0.999999990404668+0.000369199902090086i</v>
      </c>
      <c r="AA87" s="18">
        <f t="shared" si="122"/>
        <v>1.0000000585589504</v>
      </c>
      <c r="AB87" s="18">
        <f t="shared" si="123"/>
        <v>3.6919988885764592E-4</v>
      </c>
      <c r="AC87" s="68" t="str">
        <f t="shared" si="124"/>
        <v>22.6839277957628-3.75861572413697i</v>
      </c>
      <c r="AD87" s="66">
        <f t="shared" si="125"/>
        <v>27.231992660729816</v>
      </c>
      <c r="AE87" s="63">
        <f t="shared" si="126"/>
        <v>-9.4081516219777779</v>
      </c>
      <c r="AF87" s="51" t="e">
        <f t="shared" si="127"/>
        <v>#NUM!</v>
      </c>
      <c r="AG87" s="51" t="str">
        <f t="shared" si="108"/>
        <v>1-0.23080283112177i</v>
      </c>
      <c r="AH87" s="51">
        <f t="shared" si="128"/>
        <v>1.0262894069675592</v>
      </c>
      <c r="AI87" s="51">
        <f t="shared" si="129"/>
        <v>-0.22683074927733196</v>
      </c>
      <c r="AJ87" s="51" t="str">
        <f t="shared" si="109"/>
        <v>1+0.000307737108162359i</v>
      </c>
      <c r="AK87" s="51">
        <f t="shared" si="130"/>
        <v>1.0000000473510626</v>
      </c>
      <c r="AL87" s="51">
        <f t="shared" si="131"/>
        <v>3.0773709844790655E-4</v>
      </c>
      <c r="AM87" s="51" t="e">
        <f t="shared" si="110"/>
        <v>#NUM!</v>
      </c>
      <c r="AN87" s="51" t="e">
        <f t="shared" si="132"/>
        <v>#NUM!</v>
      </c>
      <c r="AO87" s="51" t="e">
        <f t="shared" si="133"/>
        <v>#NUM!</v>
      </c>
      <c r="AP87" s="60" t="e">
        <f t="shared" si="134"/>
        <v>#NUM!</v>
      </c>
      <c r="AQ87" s="51" t="e">
        <f t="shared" si="135"/>
        <v>#NUM!</v>
      </c>
      <c r="AR87" s="63" t="e">
        <f t="shared" si="136"/>
        <v>#NUM!</v>
      </c>
      <c r="AS87" s="32" t="str">
        <f t="shared" si="111"/>
        <v>-0.000170731707317073</v>
      </c>
      <c r="AT87" s="32" t="str">
        <f t="shared" si="112"/>
        <v>0.0000116940101101696i</v>
      </c>
      <c r="AU87" s="32">
        <f t="shared" si="137"/>
        <v>1.16940101101696E-5</v>
      </c>
      <c r="AV87" s="32">
        <f t="shared" si="138"/>
        <v>1.5707963267948966</v>
      </c>
      <c r="AW87" s="32" t="str">
        <f t="shared" si="113"/>
        <v>1+0.00248975517193251i</v>
      </c>
      <c r="AX87" s="32">
        <f t="shared" si="139"/>
        <v>1.0000030994356048</v>
      </c>
      <c r="AY87" s="32">
        <f t="shared" si="140"/>
        <v>2.4897500273864536E-3</v>
      </c>
      <c r="AZ87" s="32" t="str">
        <f t="shared" si="114"/>
        <v>1+0.0473053482667178i</v>
      </c>
      <c r="BA87" s="32">
        <f t="shared" si="141"/>
        <v>1.0011182727203791</v>
      </c>
      <c r="BB87" s="32">
        <f t="shared" si="142"/>
        <v>4.7270108996965175E-2</v>
      </c>
      <c r="BC87" s="60" t="str">
        <f t="shared" si="143"/>
        <v>-0.654300382959173+14.601557191197i</v>
      </c>
      <c r="BD87" s="51">
        <f t="shared" si="144"/>
        <v>23.296695211558401</v>
      </c>
      <c r="BE87" s="63">
        <f t="shared" si="145"/>
        <v>92.565725574037657</v>
      </c>
      <c r="BF87" s="60" t="str">
        <f t="shared" si="146"/>
        <v>40.0395398119325+333.679932738513i</v>
      </c>
      <c r="BG87" s="66">
        <f t="shared" si="147"/>
        <v>50.528687872288216</v>
      </c>
      <c r="BH87" s="63">
        <f t="shared" si="148"/>
        <v>83.157573952059877</v>
      </c>
      <c r="BI87" s="60" t="e">
        <f t="shared" si="101"/>
        <v>#NUM!</v>
      </c>
      <c r="BJ87" s="66" t="e">
        <f t="shared" si="149"/>
        <v>#NUM!</v>
      </c>
      <c r="BK87" s="63" t="e">
        <f t="shared" si="102"/>
        <v>#NUM!</v>
      </c>
      <c r="BL87" s="51">
        <f t="shared" si="150"/>
        <v>50.528687872288216</v>
      </c>
      <c r="BM87" s="63">
        <f t="shared" si="151"/>
        <v>83.157573952059877</v>
      </c>
    </row>
    <row r="88" spans="14:65" x14ac:dyDescent="0.3">
      <c r="N88" s="11">
        <v>70</v>
      </c>
      <c r="O88" s="52">
        <f t="shared" si="115"/>
        <v>50.118723362727238</v>
      </c>
      <c r="P88" s="50" t="str">
        <f t="shared" si="103"/>
        <v>23.3035714285714</v>
      </c>
      <c r="Q88" s="18" t="str">
        <f t="shared" si="104"/>
        <v>1+0.16869922834676i</v>
      </c>
      <c r="R88" s="18">
        <f t="shared" si="116"/>
        <v>1.0141298879555776</v>
      </c>
      <c r="S88" s="18">
        <f t="shared" si="117"/>
        <v>0.16712565079927336</v>
      </c>
      <c r="T88" s="18" t="str">
        <f t="shared" si="105"/>
        <v>1+0.000314905226247286i</v>
      </c>
      <c r="U88" s="18">
        <f t="shared" si="118"/>
        <v>1.0000000495826495</v>
      </c>
      <c r="V88" s="18">
        <f t="shared" si="119"/>
        <v>3.1490521583806274E-4</v>
      </c>
      <c r="W88" s="32" t="str">
        <f t="shared" si="106"/>
        <v>1-0.000769768330826699i</v>
      </c>
      <c r="X88" s="18">
        <f t="shared" si="120"/>
        <v>1.0000002962715977</v>
      </c>
      <c r="Y88" s="18">
        <f t="shared" si="121"/>
        <v>-7.697681787864018E-4</v>
      </c>
      <c r="Z88" s="32" t="str">
        <f t="shared" si="107"/>
        <v>0.999999989952454+0.000377799672559525i</v>
      </c>
      <c r="AA88" s="18">
        <f t="shared" si="122"/>
        <v>1.0000000613187485</v>
      </c>
      <c r="AB88" s="18">
        <f t="shared" si="123"/>
        <v>3.7779965838071004E-4</v>
      </c>
      <c r="AC88" s="68" t="str">
        <f t="shared" si="124"/>
        <v>22.6555329909909-3.84137494951567i</v>
      </c>
      <c r="AD88" s="66">
        <f t="shared" si="125"/>
        <v>27.226580520287293</v>
      </c>
      <c r="AE88" s="63">
        <f t="shared" si="126"/>
        <v>-9.6233024931359878</v>
      </c>
      <c r="AF88" s="51" t="e">
        <f t="shared" si="127"/>
        <v>#NUM!</v>
      </c>
      <c r="AG88" s="51" t="str">
        <f t="shared" si="108"/>
        <v>1-0.236178919685465i</v>
      </c>
      <c r="AH88" s="51">
        <f t="shared" si="128"/>
        <v>1.02751179171034</v>
      </c>
      <c r="AI88" s="51">
        <f t="shared" si="129"/>
        <v>-0.23192888783975513</v>
      </c>
      <c r="AJ88" s="51" t="str">
        <f t="shared" si="109"/>
        <v>1+0.000314905226247286i</v>
      </c>
      <c r="AK88" s="51">
        <f t="shared" si="130"/>
        <v>1.0000000495826495</v>
      </c>
      <c r="AL88" s="51">
        <f t="shared" si="131"/>
        <v>3.1490521583806274E-4</v>
      </c>
      <c r="AM88" s="51" t="e">
        <f t="shared" si="110"/>
        <v>#NUM!</v>
      </c>
      <c r="AN88" s="51" t="e">
        <f t="shared" si="132"/>
        <v>#NUM!</v>
      </c>
      <c r="AO88" s="51" t="e">
        <f t="shared" si="133"/>
        <v>#NUM!</v>
      </c>
      <c r="AP88" s="60" t="e">
        <f t="shared" si="134"/>
        <v>#NUM!</v>
      </c>
      <c r="AQ88" s="51" t="e">
        <f t="shared" si="135"/>
        <v>#NUM!</v>
      </c>
      <c r="AR88" s="63" t="e">
        <f t="shared" si="136"/>
        <v>#NUM!</v>
      </c>
      <c r="AS88" s="32" t="str">
        <f t="shared" si="111"/>
        <v>-0.000170731707317073</v>
      </c>
      <c r="AT88" s="32" t="str">
        <f t="shared" si="112"/>
        <v>0.0000119663985973969i</v>
      </c>
      <c r="AU88" s="32">
        <f t="shared" si="137"/>
        <v>1.19663985973969E-5</v>
      </c>
      <c r="AV88" s="32">
        <f t="shared" si="138"/>
        <v>1.5707963267948966</v>
      </c>
      <c r="AW88" s="32" t="str">
        <f t="shared" si="113"/>
        <v>1+0.0025477490199333i</v>
      </c>
      <c r="AX88" s="32">
        <f t="shared" si="139"/>
        <v>1.0000032455072676</v>
      </c>
      <c r="AY88" s="32">
        <f t="shared" si="140"/>
        <v>2.5477435074538501E-3</v>
      </c>
      <c r="AZ88" s="32" t="str">
        <f t="shared" si="114"/>
        <v>1+0.0484072313787328i</v>
      </c>
      <c r="BA88" s="32">
        <f t="shared" si="141"/>
        <v>1.0011709444694019</v>
      </c>
      <c r="BB88" s="32">
        <f t="shared" si="142"/>
        <v>4.8369474205655752E-2</v>
      </c>
      <c r="BC88" s="60" t="str">
        <f t="shared" si="143"/>
        <v>-0.654300191810315+14.2692601977168i</v>
      </c>
      <c r="BD88" s="51">
        <f t="shared" si="144"/>
        <v>23.097150920738301</v>
      </c>
      <c r="BE88" s="63">
        <f t="shared" si="145"/>
        <v>92.625391778992025</v>
      </c>
      <c r="BF88" s="60" t="str">
        <f t="shared" si="146"/>
        <v>39.9900590900601+325.79110753269i</v>
      </c>
      <c r="BG88" s="66">
        <f t="shared" si="147"/>
        <v>50.3237314410256</v>
      </c>
      <c r="BH88" s="63">
        <f t="shared" si="148"/>
        <v>83.00208928585603</v>
      </c>
      <c r="BI88" s="60" t="e">
        <f t="shared" si="101"/>
        <v>#NUM!</v>
      </c>
      <c r="BJ88" s="66" t="e">
        <f t="shared" si="149"/>
        <v>#NUM!</v>
      </c>
      <c r="BK88" s="63" t="e">
        <f t="shared" si="102"/>
        <v>#NUM!</v>
      </c>
      <c r="BL88" s="51">
        <f t="shared" si="150"/>
        <v>50.3237314410256</v>
      </c>
      <c r="BM88" s="63">
        <f t="shared" si="151"/>
        <v>83.00208928585603</v>
      </c>
    </row>
    <row r="89" spans="14:65" x14ac:dyDescent="0.3">
      <c r="N89" s="11">
        <v>71</v>
      </c>
      <c r="O89" s="52">
        <f t="shared" si="115"/>
        <v>51.28613839913649</v>
      </c>
      <c r="P89" s="50" t="str">
        <f t="shared" si="103"/>
        <v>23.3035714285714</v>
      </c>
      <c r="Q89" s="18" t="str">
        <f t="shared" si="104"/>
        <v>1+0.17262873817041i</v>
      </c>
      <c r="R89" s="18">
        <f t="shared" si="116"/>
        <v>1.014790954454319</v>
      </c>
      <c r="S89" s="18">
        <f t="shared" si="117"/>
        <v>0.17094394391537321</v>
      </c>
      <c r="T89" s="18" t="str">
        <f t="shared" si="105"/>
        <v>1+0.000322240311251433i</v>
      </c>
      <c r="U89" s="18">
        <f t="shared" si="118"/>
        <v>1.0000000519194077</v>
      </c>
      <c r="V89" s="18">
        <f t="shared" si="119"/>
        <v>3.2224030009774934E-4</v>
      </c>
      <c r="W89" s="32" t="str">
        <f t="shared" si="106"/>
        <v>1-0.000787698538614614i</v>
      </c>
      <c r="X89" s="18">
        <f t="shared" si="120"/>
        <v>1.0000003102344457</v>
      </c>
      <c r="Y89" s="18">
        <f t="shared" si="121"/>
        <v>-7.8769837570050302E-4</v>
      </c>
      <c r="Z89" s="32" t="str">
        <f t="shared" si="107"/>
        <v>0.999999989478928+0.000386599757416125i</v>
      </c>
      <c r="AA89" s="18">
        <f t="shared" si="122"/>
        <v>1.000000064208612</v>
      </c>
      <c r="AB89" s="18">
        <f t="shared" si="123"/>
        <v>3.8659974222325096E-4</v>
      </c>
      <c r="AC89" s="68" t="str">
        <f t="shared" si="124"/>
        <v>22.6258756881771-3.92573236378297i</v>
      </c>
      <c r="AD89" s="66">
        <f t="shared" si="125"/>
        <v>27.220920533386984</v>
      </c>
      <c r="AE89" s="63">
        <f t="shared" si="126"/>
        <v>-9.843185836534504</v>
      </c>
      <c r="AF89" s="51" t="e">
        <f t="shared" si="127"/>
        <v>#NUM!</v>
      </c>
      <c r="AG89" s="51" t="str">
        <f t="shared" si="108"/>
        <v>1-0.241680233438575i</v>
      </c>
      <c r="AH89" s="51">
        <f t="shared" si="128"/>
        <v>1.0287902289752389</v>
      </c>
      <c r="AI89" s="51">
        <f t="shared" si="129"/>
        <v>-0.2371330968409476</v>
      </c>
      <c r="AJ89" s="51" t="str">
        <f t="shared" si="109"/>
        <v>1+0.000322240311251433i</v>
      </c>
      <c r="AK89" s="51">
        <f t="shared" si="130"/>
        <v>1.0000000519194077</v>
      </c>
      <c r="AL89" s="51">
        <f t="shared" si="131"/>
        <v>3.2224030009774934E-4</v>
      </c>
      <c r="AM89" s="51" t="e">
        <f t="shared" si="110"/>
        <v>#NUM!</v>
      </c>
      <c r="AN89" s="51" t="e">
        <f t="shared" si="132"/>
        <v>#NUM!</v>
      </c>
      <c r="AO89" s="51" t="e">
        <f t="shared" si="133"/>
        <v>#NUM!</v>
      </c>
      <c r="AP89" s="60" t="e">
        <f t="shared" si="134"/>
        <v>#NUM!</v>
      </c>
      <c r="AQ89" s="51" t="e">
        <f t="shared" si="135"/>
        <v>#NUM!</v>
      </c>
      <c r="AR89" s="63" t="e">
        <f t="shared" si="136"/>
        <v>#NUM!</v>
      </c>
      <c r="AS89" s="32" t="str">
        <f t="shared" si="111"/>
        <v>-0.000170731707317073</v>
      </c>
      <c r="AT89" s="32" t="str">
        <f t="shared" si="112"/>
        <v>0.0000122451318275545i</v>
      </c>
      <c r="AU89" s="32">
        <f t="shared" si="137"/>
        <v>1.22451318275545E-5</v>
      </c>
      <c r="AV89" s="32">
        <f t="shared" si="138"/>
        <v>1.5707963267948966</v>
      </c>
      <c r="AW89" s="32" t="str">
        <f t="shared" si="113"/>
        <v>1+0.00260709371818791i</v>
      </c>
      <c r="AX89" s="32">
        <f t="shared" si="139"/>
        <v>1.000003398463053</v>
      </c>
      <c r="AY89" s="32">
        <f t="shared" si="140"/>
        <v>2.607087811460844E-3</v>
      </c>
      <c r="AZ89" s="32" t="str">
        <f t="shared" si="114"/>
        <v>1+0.0495347806455703i</v>
      </c>
      <c r="BA89" s="32">
        <f t="shared" si="141"/>
        <v>1.0012260955916024</v>
      </c>
      <c r="BB89" s="32">
        <f t="shared" si="142"/>
        <v>4.9494325781046074E-2</v>
      </c>
      <c r="BC89" s="60" t="str">
        <f t="shared" si="143"/>
        <v>-0.65429999165301+13.9445289548237i</v>
      </c>
      <c r="BD89" s="51">
        <f t="shared" si="144"/>
        <v>22.897628055299037</v>
      </c>
      <c r="BE89" s="63">
        <f t="shared" si="145"/>
        <v>92.686440848682764</v>
      </c>
      <c r="BF89" s="60" t="str">
        <f t="shared" si="146"/>
        <v>39.9383783417438+318.075785314882i</v>
      </c>
      <c r="BG89" s="66">
        <f t="shared" si="147"/>
        <v>50.118548588686018</v>
      </c>
      <c r="BH89" s="63">
        <f t="shared" si="148"/>
        <v>82.843255012148262</v>
      </c>
      <c r="BI89" s="60" t="e">
        <f t="shared" si="101"/>
        <v>#NUM!</v>
      </c>
      <c r="BJ89" s="66" t="e">
        <f t="shared" si="149"/>
        <v>#NUM!</v>
      </c>
      <c r="BK89" s="63" t="e">
        <f t="shared" si="102"/>
        <v>#NUM!</v>
      </c>
      <c r="BL89" s="51">
        <f t="shared" si="150"/>
        <v>50.118548588686018</v>
      </c>
      <c r="BM89" s="63">
        <f t="shared" si="151"/>
        <v>82.843255012148262</v>
      </c>
    </row>
    <row r="90" spans="14:65" x14ac:dyDescent="0.3">
      <c r="N90" s="11">
        <v>72</v>
      </c>
      <c r="O90" s="52">
        <f t="shared" si="115"/>
        <v>52.480746024977286</v>
      </c>
      <c r="P90" s="50" t="str">
        <f t="shared" si="103"/>
        <v>23.3035714285714</v>
      </c>
      <c r="Q90" s="18" t="str">
        <f t="shared" si="104"/>
        <v>1+0.17664977803605i</v>
      </c>
      <c r="R90" s="18">
        <f t="shared" si="116"/>
        <v>1.0154827148111314</v>
      </c>
      <c r="S90" s="18">
        <f t="shared" si="117"/>
        <v>0.17484597170570326</v>
      </c>
      <c r="T90" s="18" t="str">
        <f t="shared" si="105"/>
        <v>1+0.000329746252333961i</v>
      </c>
      <c r="U90" s="18">
        <f t="shared" si="118"/>
        <v>1.0000000543662939</v>
      </c>
      <c r="V90" s="18">
        <f t="shared" si="119"/>
        <v>3.2974624038257361E-4</v>
      </c>
      <c r="W90" s="32" t="str">
        <f t="shared" si="106"/>
        <v>1-0.000806046394594127i</v>
      </c>
      <c r="X90" s="18">
        <f t="shared" si="120"/>
        <v>1.0000003248553424</v>
      </c>
      <c r="Y90" s="18">
        <f t="shared" si="121"/>
        <v>-8.0604622002851498E-4</v>
      </c>
      <c r="Z90" s="32" t="str">
        <f t="shared" si="107"/>
        <v>0.999999988983085+0.000395604822581361i</v>
      </c>
      <c r="AA90" s="18">
        <f t="shared" si="122"/>
        <v>1.0000000672346707</v>
      </c>
      <c r="AB90" s="18">
        <f t="shared" si="123"/>
        <v>3.9560480630190337E-4</v>
      </c>
      <c r="AC90" s="68" t="str">
        <f t="shared" si="124"/>
        <v>22.5949033676401-4.01170316386257i</v>
      </c>
      <c r="AD90" s="66">
        <f t="shared" si="125"/>
        <v>27.215001695323181</v>
      </c>
      <c r="AE90" s="63">
        <f t="shared" si="126"/>
        <v>-10.067892707972696</v>
      </c>
      <c r="AF90" s="51" t="e">
        <f t="shared" si="127"/>
        <v>#NUM!</v>
      </c>
      <c r="AG90" s="51" t="str">
        <f t="shared" si="108"/>
        <v>1-0.247309689250471i</v>
      </c>
      <c r="AH90" s="51">
        <f t="shared" si="128"/>
        <v>1.0301272166083006</v>
      </c>
      <c r="AI90" s="51">
        <f t="shared" si="129"/>
        <v>-0.24244500752873444</v>
      </c>
      <c r="AJ90" s="51" t="str">
        <f t="shared" si="109"/>
        <v>1+0.000329746252333961i</v>
      </c>
      <c r="AK90" s="51">
        <f t="shared" si="130"/>
        <v>1.0000000543662939</v>
      </c>
      <c r="AL90" s="51">
        <f t="shared" si="131"/>
        <v>3.2974624038257361E-4</v>
      </c>
      <c r="AM90" s="51" t="e">
        <f t="shared" si="110"/>
        <v>#NUM!</v>
      </c>
      <c r="AN90" s="51" t="e">
        <f t="shared" si="132"/>
        <v>#NUM!</v>
      </c>
      <c r="AO90" s="51" t="e">
        <f t="shared" si="133"/>
        <v>#NUM!</v>
      </c>
      <c r="AP90" s="60" t="e">
        <f t="shared" si="134"/>
        <v>#NUM!</v>
      </c>
      <c r="AQ90" s="51" t="e">
        <f t="shared" si="135"/>
        <v>#NUM!</v>
      </c>
      <c r="AR90" s="63" t="e">
        <f t="shared" si="136"/>
        <v>#NUM!</v>
      </c>
      <c r="AS90" s="32" t="str">
        <f t="shared" si="111"/>
        <v>-0.000170731707317073</v>
      </c>
      <c r="AT90" s="32" t="str">
        <f t="shared" si="112"/>
        <v>0.0000125303575886905i</v>
      </c>
      <c r="AU90" s="32">
        <f t="shared" si="137"/>
        <v>1.2530357588690501E-5</v>
      </c>
      <c r="AV90" s="32">
        <f t="shared" si="138"/>
        <v>1.5707963267948966</v>
      </c>
      <c r="AW90" s="32" t="str">
        <f t="shared" si="113"/>
        <v>1+0.00266782073204086i</v>
      </c>
      <c r="AX90" s="32">
        <f t="shared" si="139"/>
        <v>1.0000035586273972</v>
      </c>
      <c r="AY90" s="32">
        <f t="shared" si="140"/>
        <v>2.667814402869994E-3</v>
      </c>
      <c r="AZ90" s="32" t="str">
        <f t="shared" si="114"/>
        <v>1+0.0506885939087765i</v>
      </c>
      <c r="BA90" s="32">
        <f t="shared" si="141"/>
        <v>1.0012838426502491</v>
      </c>
      <c r="BB90" s="32">
        <f t="shared" si="142"/>
        <v>5.0645248741744163E-2</v>
      </c>
      <c r="BC90" s="60" t="str">
        <f t="shared" si="143"/>
        <v>-0.654299782062718+13.6271912857108i</v>
      </c>
      <c r="BD90" s="51">
        <f t="shared" si="144"/>
        <v>22.698127620028327</v>
      </c>
      <c r="BE90" s="63">
        <f t="shared" si="145"/>
        <v>92.748904499483515</v>
      </c>
      <c r="BF90" s="60" t="str">
        <f t="shared" si="146"/>
        <v>39.8844060462714+310.529926778798i</v>
      </c>
      <c r="BG90" s="66">
        <f t="shared" si="147"/>
        <v>49.913129315351497</v>
      </c>
      <c r="BH90" s="63">
        <f t="shared" si="148"/>
        <v>82.681011791510812</v>
      </c>
      <c r="BI90" s="60" t="e">
        <f t="shared" si="101"/>
        <v>#NUM!</v>
      </c>
      <c r="BJ90" s="66" t="e">
        <f t="shared" si="149"/>
        <v>#NUM!</v>
      </c>
      <c r="BK90" s="63" t="e">
        <f t="shared" si="102"/>
        <v>#NUM!</v>
      </c>
      <c r="BL90" s="51">
        <f t="shared" si="150"/>
        <v>49.913129315351497</v>
      </c>
      <c r="BM90" s="63">
        <f t="shared" si="151"/>
        <v>82.681011791510812</v>
      </c>
    </row>
    <row r="91" spans="14:65" x14ac:dyDescent="0.3">
      <c r="N91" s="11">
        <v>73</v>
      </c>
      <c r="O91" s="52">
        <f t="shared" si="115"/>
        <v>53.703179637025293</v>
      </c>
      <c r="P91" s="50" t="str">
        <f t="shared" si="103"/>
        <v>23.3035714285714</v>
      </c>
      <c r="Q91" s="18" t="str">
        <f t="shared" si="104"/>
        <v>1+0.180764479952241i</v>
      </c>
      <c r="R91" s="18">
        <f t="shared" si="116"/>
        <v>1.0162065721163214</v>
      </c>
      <c r="S91" s="18">
        <f t="shared" si="117"/>
        <v>0.17883332754759523</v>
      </c>
      <c r="T91" s="18" t="str">
        <f t="shared" si="105"/>
        <v>1+0.000337427029244183i</v>
      </c>
      <c r="U91" s="18">
        <f t="shared" si="118"/>
        <v>1.0000000569284984</v>
      </c>
      <c r="V91" s="18">
        <f t="shared" si="119"/>
        <v>3.3742701643804077E-4</v>
      </c>
      <c r="W91" s="32" t="str">
        <f t="shared" si="106"/>
        <v>1-0.000824821627041336i</v>
      </c>
      <c r="X91" s="18">
        <f t="shared" si="120"/>
        <v>1.0000003401653004</v>
      </c>
      <c r="Y91" s="18">
        <f t="shared" si="121"/>
        <v>-8.248214399909162E-4</v>
      </c>
      <c r="Z91" s="32" t="str">
        <f t="shared" si="107"/>
        <v>0.999999988463874+0.000404819642659977i</v>
      </c>
      <c r="AA91" s="18">
        <f t="shared" si="122"/>
        <v>1.0000000704033432</v>
      </c>
      <c r="AB91" s="18">
        <f t="shared" si="123"/>
        <v>4.0481962521622385E-4</v>
      </c>
      <c r="AC91" s="68" t="str">
        <f t="shared" si="124"/>
        <v>22.5625616619002-4.09930150305275i</v>
      </c>
      <c r="AD91" s="66">
        <f t="shared" si="125"/>
        <v>27.208812545007099</v>
      </c>
      <c r="AE91" s="63">
        <f t="shared" si="126"/>
        <v>-10.297515004174562</v>
      </c>
      <c r="AF91" s="51" t="e">
        <f t="shared" si="127"/>
        <v>#NUM!</v>
      </c>
      <c r="AG91" s="51" t="str">
        <f t="shared" si="108"/>
        <v>1-0.253070271933138i</v>
      </c>
      <c r="AH91" s="51">
        <f t="shared" si="128"/>
        <v>1.0315253571950194</v>
      </c>
      <c r="AI91" s="51">
        <f t="shared" si="129"/>
        <v>-0.24786623676513861</v>
      </c>
      <c r="AJ91" s="51" t="str">
        <f t="shared" si="109"/>
        <v>1+0.000337427029244183i</v>
      </c>
      <c r="AK91" s="51">
        <f t="shared" si="130"/>
        <v>1.0000000569284984</v>
      </c>
      <c r="AL91" s="51">
        <f t="shared" si="131"/>
        <v>3.3742701643804077E-4</v>
      </c>
      <c r="AM91" s="51" t="e">
        <f t="shared" si="110"/>
        <v>#NUM!</v>
      </c>
      <c r="AN91" s="51" t="e">
        <f t="shared" si="132"/>
        <v>#NUM!</v>
      </c>
      <c r="AO91" s="51" t="e">
        <f t="shared" si="133"/>
        <v>#NUM!</v>
      </c>
      <c r="AP91" s="60" t="e">
        <f t="shared" si="134"/>
        <v>#NUM!</v>
      </c>
      <c r="AQ91" s="51" t="e">
        <f t="shared" si="135"/>
        <v>#NUM!</v>
      </c>
      <c r="AR91" s="63" t="e">
        <f t="shared" si="136"/>
        <v>#NUM!</v>
      </c>
      <c r="AS91" s="32" t="str">
        <f t="shared" si="111"/>
        <v>-0.000170731707317073</v>
      </c>
      <c r="AT91" s="32" t="str">
        <f t="shared" si="112"/>
        <v>0.000012822227111279i</v>
      </c>
      <c r="AU91" s="32">
        <f t="shared" si="137"/>
        <v>1.2822227111279E-5</v>
      </c>
      <c r="AV91" s="32">
        <f t="shared" si="138"/>
        <v>1.5707963267948966</v>
      </c>
      <c r="AW91" s="32" t="str">
        <f t="shared" si="113"/>
        <v>1+0.00272996225975872i</v>
      </c>
      <c r="AX91" s="32">
        <f t="shared" si="139"/>
        <v>1.000003726340027</v>
      </c>
      <c r="AY91" s="32">
        <f t="shared" si="140"/>
        <v>2.7299554779313161E-3</v>
      </c>
      <c r="AZ91" s="32" t="str">
        <f t="shared" si="114"/>
        <v>1+0.0518692829354158i</v>
      </c>
      <c r="BA91" s="32">
        <f t="shared" si="141"/>
        <v>1.0013443076745552</v>
      </c>
      <c r="BB91" s="32">
        <f t="shared" si="142"/>
        <v>5.1822841119093514E-2</v>
      </c>
      <c r="BC91" s="60" t="str">
        <f t="shared" si="143"/>
        <v>-0.654299562594876+13.3170789337421i</v>
      </c>
      <c r="BD91" s="51">
        <f t="shared" si="144"/>
        <v>22.49865066659174</v>
      </c>
      <c r="BE91" s="63">
        <f t="shared" si="145"/>
        <v>92.812815151356986</v>
      </c>
      <c r="BF91" s="60" t="str">
        <f t="shared" si="146"/>
        <v>39.8280474629599+303.14958577934i</v>
      </c>
      <c r="BG91" s="66">
        <f t="shared" si="147"/>
        <v>49.707463211598828</v>
      </c>
      <c r="BH91" s="63">
        <f t="shared" si="148"/>
        <v>82.515300147182415</v>
      </c>
      <c r="BI91" s="60" t="e">
        <f t="shared" si="101"/>
        <v>#NUM!</v>
      </c>
      <c r="BJ91" s="66" t="e">
        <f t="shared" si="149"/>
        <v>#NUM!</v>
      </c>
      <c r="BK91" s="63" t="e">
        <f t="shared" si="102"/>
        <v>#NUM!</v>
      </c>
      <c r="BL91" s="51">
        <f t="shared" si="150"/>
        <v>49.707463211598828</v>
      </c>
      <c r="BM91" s="63">
        <f t="shared" si="151"/>
        <v>82.515300147182415</v>
      </c>
    </row>
    <row r="92" spans="14:65" x14ac:dyDescent="0.3">
      <c r="N92" s="11">
        <v>74</v>
      </c>
      <c r="O92" s="52">
        <f t="shared" si="115"/>
        <v>54.95408738576247</v>
      </c>
      <c r="P92" s="50" t="str">
        <f t="shared" si="103"/>
        <v>23.3035714285714</v>
      </c>
      <c r="Q92" s="18" t="str">
        <f t="shared" si="104"/>
        <v>1+0.184975025588403i</v>
      </c>
      <c r="R92" s="18">
        <f t="shared" si="116"/>
        <v>1.0169639915412101</v>
      </c>
      <c r="S92" s="18">
        <f t="shared" si="117"/>
        <v>0.18290761817890636</v>
      </c>
      <c r="T92" s="18" t="str">
        <f t="shared" si="105"/>
        <v>1+0.000345286714431686i</v>
      </c>
      <c r="U92" s="18">
        <f t="shared" si="118"/>
        <v>1.0000000596114558</v>
      </c>
      <c r="V92" s="18">
        <f t="shared" si="119"/>
        <v>3.4528670070965744E-4</v>
      </c>
      <c r="W92" s="32" t="str">
        <f t="shared" si="106"/>
        <v>1-0.00084403419083301i</v>
      </c>
      <c r="X92" s="18">
        <f t="shared" si="120"/>
        <v>1.0000003561967943</v>
      </c>
      <c r="Y92" s="18">
        <f t="shared" si="121"/>
        <v>-8.4403399040487801E-4</v>
      </c>
      <c r="Z92" s="32" t="str">
        <f t="shared" si="107"/>
        <v>0.999999987920193+0.000414249103471554i</v>
      </c>
      <c r="AA92" s="18">
        <f t="shared" si="122"/>
        <v>1.0000000737213501</v>
      </c>
      <c r="AB92" s="18">
        <f t="shared" si="123"/>
        <v>4.1424908478023589E-4</v>
      </c>
      <c r="AC92" s="68" t="str">
        <f t="shared" si="124"/>
        <v>22.5287943226867-4.18854038686391i</v>
      </c>
      <c r="AD92" s="66">
        <f t="shared" si="125"/>
        <v>27.202341149044038</v>
      </c>
      <c r="AE92" s="63">
        <f t="shared" si="126"/>
        <v>-10.532145401409883</v>
      </c>
      <c r="AF92" s="51" t="e">
        <f t="shared" si="127"/>
        <v>#NUM!</v>
      </c>
      <c r="AG92" s="51" t="str">
        <f t="shared" si="108"/>
        <v>1-0.258965035823765i</v>
      </c>
      <c r="AH92" s="51">
        <f t="shared" si="128"/>
        <v>1.0329873618680936</v>
      </c>
      <c r="AI92" s="51">
        <f t="shared" si="129"/>
        <v>-0.25339838378528007</v>
      </c>
      <c r="AJ92" s="51" t="str">
        <f t="shared" si="109"/>
        <v>1+0.000345286714431686i</v>
      </c>
      <c r="AK92" s="51">
        <f t="shared" si="130"/>
        <v>1.0000000596114558</v>
      </c>
      <c r="AL92" s="51">
        <f t="shared" si="131"/>
        <v>3.4528670070965744E-4</v>
      </c>
      <c r="AM92" s="51" t="e">
        <f t="shared" si="110"/>
        <v>#NUM!</v>
      </c>
      <c r="AN92" s="51" t="e">
        <f t="shared" si="132"/>
        <v>#NUM!</v>
      </c>
      <c r="AO92" s="51" t="e">
        <f t="shared" si="133"/>
        <v>#NUM!</v>
      </c>
      <c r="AP92" s="60" t="e">
        <f t="shared" si="134"/>
        <v>#NUM!</v>
      </c>
      <c r="AQ92" s="51" t="e">
        <f t="shared" si="135"/>
        <v>#NUM!</v>
      </c>
      <c r="AR92" s="63" t="e">
        <f t="shared" si="136"/>
        <v>#NUM!</v>
      </c>
      <c r="AS92" s="32" t="str">
        <f t="shared" si="111"/>
        <v>-0.000170731707317073</v>
      </c>
      <c r="AT92" s="32" t="str">
        <f t="shared" si="112"/>
        <v>0.0000131208951484041i</v>
      </c>
      <c r="AU92" s="32">
        <f t="shared" si="137"/>
        <v>1.3120895148404101E-5</v>
      </c>
      <c r="AV92" s="32">
        <f t="shared" si="138"/>
        <v>1.5707963267948966</v>
      </c>
      <c r="AW92" s="32" t="str">
        <f t="shared" si="113"/>
        <v>1+0.00279355124960204i</v>
      </c>
      <c r="AX92" s="32">
        <f t="shared" si="139"/>
        <v>1.0000039019566795</v>
      </c>
      <c r="AY92" s="32">
        <f t="shared" si="140"/>
        <v>2.7935439827445835E-3</v>
      </c>
      <c r="AZ92" s="32" t="str">
        <f t="shared" si="114"/>
        <v>1+0.0530774737424388i</v>
      </c>
      <c r="BA92" s="32">
        <f t="shared" si="141"/>
        <v>1.001407618414639</v>
      </c>
      <c r="BB92" s="32">
        <f t="shared" si="142"/>
        <v>5.3027714216782575E-2</v>
      </c>
      <c r="BC92" s="60" t="str">
        <f t="shared" si="143"/>
        <v>-0.654299332783997+13.0140274732399i</v>
      </c>
      <c r="BD92" s="51">
        <f t="shared" si="144"/>
        <v>22.299198295695838</v>
      </c>
      <c r="BE92" s="63">
        <f t="shared" si="145"/>
        <v>92.878205941752086</v>
      </c>
      <c r="BF92" s="60" t="str">
        <f t="shared" si="146"/>
        <v>39.76920457366+295.93090743488i</v>
      </c>
      <c r="BG92" s="66">
        <f t="shared" si="147"/>
        <v>49.501539444739883</v>
      </c>
      <c r="BH92" s="63">
        <f t="shared" si="148"/>
        <v>82.346060540342222</v>
      </c>
      <c r="BI92" s="60" t="e">
        <f t="shared" si="101"/>
        <v>#NUM!</v>
      </c>
      <c r="BJ92" s="66" t="e">
        <f t="shared" si="149"/>
        <v>#NUM!</v>
      </c>
      <c r="BK92" s="63" t="e">
        <f t="shared" si="102"/>
        <v>#NUM!</v>
      </c>
      <c r="BL92" s="51">
        <f t="shared" si="150"/>
        <v>49.501539444739883</v>
      </c>
      <c r="BM92" s="63">
        <f t="shared" si="151"/>
        <v>82.346060540342222</v>
      </c>
    </row>
    <row r="93" spans="14:65" x14ac:dyDescent="0.3">
      <c r="N93" s="11">
        <v>75</v>
      </c>
      <c r="O93" s="52">
        <f t="shared" si="115"/>
        <v>56.234132519034915</v>
      </c>
      <c r="P93" s="50" t="str">
        <f t="shared" si="103"/>
        <v>23.3035714285714</v>
      </c>
      <c r="Q93" s="18" t="str">
        <f t="shared" si="104"/>
        <v>1+0.189283647431566i</v>
      </c>
      <c r="R93" s="18">
        <f t="shared" si="116"/>
        <v>1.0177565028949691</v>
      </c>
      <c r="S93" s="18">
        <f t="shared" si="117"/>
        <v>0.18707046251584852</v>
      </c>
      <c r="T93" s="18" t="str">
        <f t="shared" si="105"/>
        <v>1+0.00035332947520559i</v>
      </c>
      <c r="U93" s="18">
        <f t="shared" si="118"/>
        <v>1.0000000624208571</v>
      </c>
      <c r="V93" s="18">
        <f t="shared" si="119"/>
        <v>3.5332946050217149E-4</v>
      </c>
      <c r="W93" s="32" t="str">
        <f t="shared" si="106"/>
        <v>1-0.000863694272724776i</v>
      </c>
      <c r="X93" s="18">
        <f t="shared" si="120"/>
        <v>1.0000003729838287</v>
      </c>
      <c r="Y93" s="18">
        <f t="shared" si="121"/>
        <v>-8.6369405796216754E-4</v>
      </c>
      <c r="Z93" s="32" t="str">
        <f t="shared" si="107"/>
        <v>0.999999987350889+0.000423898204641026i</v>
      </c>
      <c r="AA93" s="18">
        <f t="shared" si="122"/>
        <v>1.00000007719573</v>
      </c>
      <c r="AB93" s="18">
        <f t="shared" si="123"/>
        <v>4.2389818461291792E-4</v>
      </c>
      <c r="AC93" s="68" t="str">
        <f t="shared" si="124"/>
        <v>22.4935431907299-4.27943156290749i</v>
      </c>
      <c r="AD93" s="66">
        <f t="shared" si="125"/>
        <v>27.195575085540767</v>
      </c>
      <c r="AE93" s="63">
        <f t="shared" si="126"/>
        <v>-10.771877288087309</v>
      </c>
      <c r="AF93" s="51" t="e">
        <f t="shared" si="127"/>
        <v>#NUM!</v>
      </c>
      <c r="AG93" s="51" t="str">
        <f t="shared" si="108"/>
        <v>1-0.264997106404193i</v>
      </c>
      <c r="AH93" s="51">
        <f t="shared" si="128"/>
        <v>1.0345160542024445</v>
      </c>
      <c r="AI93" s="51">
        <f t="shared" si="129"/>
        <v>-0.25904302676059654</v>
      </c>
      <c r="AJ93" s="51" t="str">
        <f t="shared" si="109"/>
        <v>1+0.00035332947520559i</v>
      </c>
      <c r="AK93" s="51">
        <f t="shared" si="130"/>
        <v>1.0000000624208571</v>
      </c>
      <c r="AL93" s="51">
        <f t="shared" si="131"/>
        <v>3.5332946050217149E-4</v>
      </c>
      <c r="AM93" s="51" t="e">
        <f t="shared" si="110"/>
        <v>#NUM!</v>
      </c>
      <c r="AN93" s="51" t="e">
        <f t="shared" si="132"/>
        <v>#NUM!</v>
      </c>
      <c r="AO93" s="51" t="e">
        <f t="shared" si="133"/>
        <v>#NUM!</v>
      </c>
      <c r="AP93" s="60" t="e">
        <f t="shared" si="134"/>
        <v>#NUM!</v>
      </c>
      <c r="AQ93" s="51" t="e">
        <f t="shared" si="135"/>
        <v>#NUM!</v>
      </c>
      <c r="AR93" s="63" t="e">
        <f t="shared" si="136"/>
        <v>#NUM!</v>
      </c>
      <c r="AS93" s="32" t="str">
        <f t="shared" si="111"/>
        <v>-0.000170731707317073</v>
      </c>
      <c r="AT93" s="32" t="str">
        <f t="shared" si="112"/>
        <v>0.0000134265200578124i</v>
      </c>
      <c r="AU93" s="32">
        <f t="shared" si="137"/>
        <v>1.34265200578124E-5</v>
      </c>
      <c r="AV93" s="32">
        <f t="shared" si="138"/>
        <v>1.5707963267948966</v>
      </c>
      <c r="AW93" s="32" t="str">
        <f t="shared" si="113"/>
        <v>1+0.00285862141729491i</v>
      </c>
      <c r="AX93" s="32">
        <f t="shared" si="139"/>
        <v>1.0000040858498567</v>
      </c>
      <c r="AY93" s="32">
        <f t="shared" si="140"/>
        <v>2.8586136307185749E-3</v>
      </c>
      <c r="AZ93" s="32" t="str">
        <f t="shared" si="114"/>
        <v>1+0.0543138069286033i</v>
      </c>
      <c r="BA93" s="32">
        <f t="shared" si="141"/>
        <v>1.001473908608246</v>
      </c>
      <c r="BB93" s="32">
        <f t="shared" si="142"/>
        <v>5.4260492873439245E-2</v>
      </c>
      <c r="BC93" s="60" t="str">
        <f t="shared" si="143"/>
        <v>-0.654299092142638+12.7178762223047i</v>
      </c>
      <c r="BD93" s="51">
        <f t="shared" si="144"/>
        <v>22.09977165934972</v>
      </c>
      <c r="BE93" s="63">
        <f t="shared" si="145"/>
        <v>92.945110739648996</v>
      </c>
      <c r="BF93" s="60" t="str">
        <f t="shared" si="146"/>
        <v>39.7077760301156+288.870126287264i</v>
      </c>
      <c r="BG93" s="66">
        <f t="shared" si="147"/>
        <v>49.295346744890473</v>
      </c>
      <c r="BH93" s="63">
        <f t="shared" si="148"/>
        <v>82.173233451561686</v>
      </c>
      <c r="BI93" s="60" t="e">
        <f t="shared" si="101"/>
        <v>#NUM!</v>
      </c>
      <c r="BJ93" s="66" t="e">
        <f t="shared" si="149"/>
        <v>#NUM!</v>
      </c>
      <c r="BK93" s="63" t="e">
        <f t="shared" si="102"/>
        <v>#NUM!</v>
      </c>
      <c r="BL93" s="51">
        <f t="shared" si="150"/>
        <v>49.295346744890473</v>
      </c>
      <c r="BM93" s="63">
        <f t="shared" si="151"/>
        <v>82.173233451561686</v>
      </c>
    </row>
    <row r="94" spans="14:65" x14ac:dyDescent="0.3">
      <c r="N94" s="11">
        <v>76</v>
      </c>
      <c r="O94" s="52">
        <f t="shared" si="115"/>
        <v>57.543993733715695</v>
      </c>
      <c r="P94" s="50" t="str">
        <f t="shared" si="103"/>
        <v>23.3035714285714</v>
      </c>
      <c r="Q94" s="18" t="str">
        <f t="shared" si="104"/>
        <v>1+0.193692629970062i</v>
      </c>
      <c r="R94" s="18">
        <f t="shared" si="116"/>
        <v>1.0185857032693515</v>
      </c>
      <c r="S94" s="18">
        <f t="shared" si="117"/>
        <v>0.19132349035955795</v>
      </c>
      <c r="T94" s="18" t="str">
        <f t="shared" si="105"/>
        <v>1+0.000361559575944117i</v>
      </c>
      <c r="U94" s="18">
        <f t="shared" si="118"/>
        <v>1.0000000653626613</v>
      </c>
      <c r="V94" s="18">
        <f t="shared" si="119"/>
        <v>3.6155956018912031E-4</v>
      </c>
      <c r="W94" s="32" t="str">
        <f t="shared" si="106"/>
        <v>1-0.000883812296752286i</v>
      </c>
      <c r="X94" s="18">
        <f t="shared" si="120"/>
        <v>1.0000003905620116</v>
      </c>
      <c r="Y94" s="18">
        <f t="shared" si="121"/>
        <v>-8.8381206663000987E-4</v>
      </c>
      <c r="Z94" s="32" t="str">
        <f t="shared" si="107"/>
        <v>0.999999986754755+0.000433772062249556i</v>
      </c>
      <c r="AA94" s="18">
        <f t="shared" si="122"/>
        <v>1.0000000808338529</v>
      </c>
      <c r="AB94" s="18">
        <f t="shared" si="123"/>
        <v>4.3377204078905157E-4</v>
      </c>
      <c r="AC94" s="68" t="str">
        <f t="shared" si="124"/>
        <v>22.4567481687691-4.37198540467093i</v>
      </c>
      <c r="AD94" s="66">
        <f t="shared" si="125"/>
        <v>27.188501427667802</v>
      </c>
      <c r="AE94" s="63">
        <f t="shared" si="126"/>
        <v>-11.016804690981743</v>
      </c>
      <c r="AF94" s="51" t="e">
        <f t="shared" si="127"/>
        <v>#NUM!</v>
      </c>
      <c r="AG94" s="51" t="str">
        <f t="shared" si="108"/>
        <v>1-0.271169681958088i</v>
      </c>
      <c r="AH94" s="51">
        <f t="shared" si="128"/>
        <v>1.0361143741948813</v>
      </c>
      <c r="AI94" s="51">
        <f t="shared" si="129"/>
        <v>-0.26480171916164741</v>
      </c>
      <c r="AJ94" s="51" t="str">
        <f t="shared" si="109"/>
        <v>1+0.000361559575944117i</v>
      </c>
      <c r="AK94" s="51">
        <f t="shared" si="130"/>
        <v>1.0000000653626613</v>
      </c>
      <c r="AL94" s="51">
        <f t="shared" si="131"/>
        <v>3.6155956018912031E-4</v>
      </c>
      <c r="AM94" s="51" t="e">
        <f t="shared" si="110"/>
        <v>#NUM!</v>
      </c>
      <c r="AN94" s="51" t="e">
        <f t="shared" si="132"/>
        <v>#NUM!</v>
      </c>
      <c r="AO94" s="51" t="e">
        <f t="shared" si="133"/>
        <v>#NUM!</v>
      </c>
      <c r="AP94" s="60" t="e">
        <f t="shared" si="134"/>
        <v>#NUM!</v>
      </c>
      <c r="AQ94" s="51" t="e">
        <f t="shared" si="135"/>
        <v>#NUM!</v>
      </c>
      <c r="AR94" s="63" t="e">
        <f t="shared" si="136"/>
        <v>#NUM!</v>
      </c>
      <c r="AS94" s="32" t="str">
        <f t="shared" si="111"/>
        <v>-0.000170731707317073</v>
      </c>
      <c r="AT94" s="32" t="str">
        <f t="shared" si="112"/>
        <v>0.0000137392638858764i</v>
      </c>
      <c r="AU94" s="32">
        <f t="shared" si="137"/>
        <v>1.3739263885876401E-5</v>
      </c>
      <c r="AV94" s="32">
        <f t="shared" si="138"/>
        <v>1.5707963267948966</v>
      </c>
      <c r="AW94" s="32" t="str">
        <f t="shared" si="113"/>
        <v>1+0.00292520726390156i</v>
      </c>
      <c r="AX94" s="32">
        <f t="shared" si="139"/>
        <v>1.0000042784096159</v>
      </c>
      <c r="AY94" s="32">
        <f t="shared" si="140"/>
        <v>2.9251989204366231E-3</v>
      </c>
      <c r="AZ94" s="32" t="str">
        <f t="shared" si="114"/>
        <v>1+0.0555789380141297i</v>
      </c>
      <c r="BA94" s="32">
        <f t="shared" si="141"/>
        <v>1.0015433182597637</v>
      </c>
      <c r="BB94" s="32">
        <f t="shared" si="142"/>
        <v>5.5521815728072639E-2</v>
      </c>
      <c r="BC94" s="60" t="str">
        <f t="shared" si="143"/>
        <v>-0.65429884016039+12.4284681576185i</v>
      </c>
      <c r="BD94" s="51">
        <f t="shared" si="144"/>
        <v>21.900371963227276</v>
      </c>
      <c r="BE94" s="63">
        <f t="shared" si="145"/>
        <v>93.013564159744391</v>
      </c>
      <c r="BF94" s="60" t="str">
        <f t="shared" si="146"/>
        <v>39.6436571069259+281.963564518679i</v>
      </c>
      <c r="BG94" s="66">
        <f t="shared" si="147"/>
        <v>49.088873390895095</v>
      </c>
      <c r="BH94" s="63">
        <f t="shared" si="148"/>
        <v>81.996759468762662</v>
      </c>
      <c r="BI94" s="60" t="e">
        <f t="shared" si="101"/>
        <v>#NUM!</v>
      </c>
      <c r="BJ94" s="66" t="e">
        <f t="shared" si="149"/>
        <v>#NUM!</v>
      </c>
      <c r="BK94" s="63" t="e">
        <f t="shared" si="102"/>
        <v>#NUM!</v>
      </c>
      <c r="BL94" s="51">
        <f t="shared" si="150"/>
        <v>49.088873390895095</v>
      </c>
      <c r="BM94" s="63">
        <f t="shared" si="151"/>
        <v>81.996759468762662</v>
      </c>
    </row>
    <row r="95" spans="14:65" x14ac:dyDescent="0.3">
      <c r="N95" s="11">
        <v>77</v>
      </c>
      <c r="O95" s="52">
        <f t="shared" si="115"/>
        <v>58.884365535558949</v>
      </c>
      <c r="P95" s="50" t="str">
        <f t="shared" si="103"/>
        <v>23.3035714285714</v>
      </c>
      <c r="Q95" s="18" t="str">
        <f t="shared" si="104"/>
        <v>1+0.198204310904794i</v>
      </c>
      <c r="R95" s="18">
        <f t="shared" si="116"/>
        <v>1.0194532597727295</v>
      </c>
      <c r="S95" s="18">
        <f t="shared" si="117"/>
        <v>0.19566834098532543</v>
      </c>
      <c r="T95" s="18" t="str">
        <f t="shared" si="105"/>
        <v>1+0.000369981380355616i</v>
      </c>
      <c r="U95" s="18">
        <f t="shared" si="118"/>
        <v>1.0000000684431085</v>
      </c>
      <c r="V95" s="18">
        <f t="shared" si="119"/>
        <v>3.6998136347383298E-4</v>
      </c>
      <c r="W95" s="32" t="str">
        <f t="shared" si="106"/>
        <v>1-0.000904398929758173i</v>
      </c>
      <c r="X95" s="18">
        <f t="shared" si="120"/>
        <v>1.0000004089686285</v>
      </c>
      <c r="Y95" s="18">
        <f t="shared" si="121"/>
        <v>-9.0439868317771692E-4</v>
      </c>
      <c r="Z95" s="32" t="str">
        <f t="shared" si="107"/>
        <v>0.999999986130526+0.000443875911547141i</v>
      </c>
      <c r="AA95" s="18">
        <f t="shared" si="122"/>
        <v>1.0000000846434349</v>
      </c>
      <c r="AB95" s="18">
        <f t="shared" si="123"/>
        <v>4.438758885517962E-4</v>
      </c>
      <c r="AC95" s="68" t="str">
        <f t="shared" si="124"/>
        <v>22.4183471982471-4.46621078902744i</v>
      </c>
      <c r="AD95" s="66">
        <f t="shared" si="125"/>
        <v>27.181106727007002</v>
      </c>
      <c r="AE95" s="63">
        <f t="shared" si="126"/>
        <v>-11.267022194745214</v>
      </c>
      <c r="AF95" s="51" t="e">
        <f t="shared" si="127"/>
        <v>#NUM!</v>
      </c>
      <c r="AG95" s="51" t="str">
        <f t="shared" si="108"/>
        <v>1-0.277486035266713i</v>
      </c>
      <c r="AH95" s="51">
        <f t="shared" si="128"/>
        <v>1.0377853823252858</v>
      </c>
      <c r="AI95" s="51">
        <f t="shared" si="129"/>
        <v>-0.27067598591631936</v>
      </c>
      <c r="AJ95" s="51" t="str">
        <f t="shared" si="109"/>
        <v>1+0.000369981380355616i</v>
      </c>
      <c r="AK95" s="51">
        <f t="shared" si="130"/>
        <v>1.0000000684431085</v>
      </c>
      <c r="AL95" s="51">
        <f t="shared" si="131"/>
        <v>3.6998136347383298E-4</v>
      </c>
      <c r="AM95" s="51" t="e">
        <f t="shared" si="110"/>
        <v>#NUM!</v>
      </c>
      <c r="AN95" s="51" t="e">
        <f t="shared" si="132"/>
        <v>#NUM!</v>
      </c>
      <c r="AO95" s="51" t="e">
        <f t="shared" si="133"/>
        <v>#NUM!</v>
      </c>
      <c r="AP95" s="60" t="e">
        <f t="shared" si="134"/>
        <v>#NUM!</v>
      </c>
      <c r="AQ95" s="51" t="e">
        <f t="shared" si="135"/>
        <v>#NUM!</v>
      </c>
      <c r="AR95" s="63" t="e">
        <f t="shared" si="136"/>
        <v>#NUM!</v>
      </c>
      <c r="AS95" s="32" t="str">
        <f t="shared" si="111"/>
        <v>-0.000170731707317073</v>
      </c>
      <c r="AT95" s="32" t="str">
        <f t="shared" si="112"/>
        <v>0.0000140592924535134i</v>
      </c>
      <c r="AU95" s="32">
        <f t="shared" si="137"/>
        <v>1.4059292453513399E-5</v>
      </c>
      <c r="AV95" s="32">
        <f t="shared" si="138"/>
        <v>1.5707963267948966</v>
      </c>
      <c r="AW95" s="32" t="str">
        <f t="shared" si="113"/>
        <v>1+0.00299334409411922i</v>
      </c>
      <c r="AX95" s="32">
        <f t="shared" si="139"/>
        <v>1.0000044800443975</v>
      </c>
      <c r="AY95" s="32">
        <f t="shared" si="140"/>
        <v>2.9933351539376311E-3</v>
      </c>
      <c r="AZ95" s="32" t="str">
        <f t="shared" si="114"/>
        <v>1+0.0568735377882653i</v>
      </c>
      <c r="BA95" s="32">
        <f t="shared" si="141"/>
        <v>1.0016159939320823</v>
      </c>
      <c r="BB95" s="32">
        <f t="shared" si="142"/>
        <v>5.6812335488195802E-2</v>
      </c>
      <c r="BC95" s="60" t="str">
        <f t="shared" si="143"/>
        <v>-0.65429857630279+12.1456498311903i</v>
      </c>
      <c r="BD95" s="51">
        <f t="shared" si="144"/>
        <v>21.701000469137167</v>
      </c>
      <c r="BE95" s="63">
        <f t="shared" si="145"/>
        <v>93.083601576766156</v>
      </c>
      <c r="BF95" s="60" t="str">
        <f t="shared" si="146"/>
        <v>39.5767396609367+275.207630224684i</v>
      </c>
      <c r="BG95" s="66">
        <f t="shared" si="147"/>
        <v>48.882107196144162</v>
      </c>
      <c r="BH95" s="63">
        <f t="shared" si="148"/>
        <v>81.816579382020933</v>
      </c>
      <c r="BI95" s="60" t="e">
        <f t="shared" si="101"/>
        <v>#NUM!</v>
      </c>
      <c r="BJ95" s="66" t="e">
        <f t="shared" si="149"/>
        <v>#NUM!</v>
      </c>
      <c r="BK95" s="63" t="e">
        <f t="shared" si="102"/>
        <v>#NUM!</v>
      </c>
      <c r="BL95" s="51">
        <f t="shared" si="150"/>
        <v>48.882107196144162</v>
      </c>
      <c r="BM95" s="63">
        <f t="shared" si="151"/>
        <v>81.816579382020933</v>
      </c>
    </row>
    <row r="96" spans="14:65" x14ac:dyDescent="0.3">
      <c r="N96" s="11">
        <v>78</v>
      </c>
      <c r="O96" s="52">
        <f t="shared" si="115"/>
        <v>60.255958607435822</v>
      </c>
      <c r="P96" s="50" t="str">
        <f t="shared" si="103"/>
        <v>23.3035714285714</v>
      </c>
      <c r="Q96" s="18" t="str">
        <f t="shared" si="104"/>
        <v>1+0.202821082388711i</v>
      </c>
      <c r="R96" s="18">
        <f t="shared" si="116"/>
        <v>1.0203609123547062</v>
      </c>
      <c r="S96" s="18">
        <f t="shared" si="117"/>
        <v>0.2001066616082485</v>
      </c>
      <c r="T96" s="18" t="str">
        <f t="shared" si="105"/>
        <v>1+0.000378599353792262i</v>
      </c>
      <c r="U96" s="18">
        <f t="shared" si="118"/>
        <v>1.0000000716687327</v>
      </c>
      <c r="V96" s="18">
        <f t="shared" si="119"/>
        <v>3.7859933570310564E-4</v>
      </c>
      <c r="W96" s="32" t="str">
        <f t="shared" si="106"/>
        <v>1-0.000925465087047752i</v>
      </c>
      <c r="X96" s="18">
        <f t="shared" si="120"/>
        <v>1.000000428242722</v>
      </c>
      <c r="Y96" s="18">
        <f t="shared" si="121"/>
        <v>-9.2546482283203924E-4</v>
      </c>
      <c r="Z96" s="32" t="str">
        <f t="shared" si="107"/>
        <v>0.999999985476878+0.000454215109728421i</v>
      </c>
      <c r="AA96" s="18">
        <f t="shared" si="122"/>
        <v>1.0000000886325571</v>
      </c>
      <c r="AB96" s="18">
        <f t="shared" si="123"/>
        <v>4.5421508508846519E-4</v>
      </c>
      <c r="AC96" s="68" t="str">
        <f t="shared" si="124"/>
        <v>22.3782762401947-4.56211496734837i</v>
      </c>
      <c r="AD96" s="66">
        <f t="shared" si="125"/>
        <v>27.173376996717643</v>
      </c>
      <c r="AE96" s="63">
        <f t="shared" si="126"/>
        <v>-11.522624854345764</v>
      </c>
      <c r="AF96" s="51" t="e">
        <f t="shared" si="127"/>
        <v>#NUM!</v>
      </c>
      <c r="AG96" s="51" t="str">
        <f t="shared" si="108"/>
        <v>1-0.283949515344197i</v>
      </c>
      <c r="AH96" s="51">
        <f t="shared" si="128"/>
        <v>1.039532263695651</v>
      </c>
      <c r="AI96" s="51">
        <f t="shared" si="129"/>
        <v>-0.27666731935991801</v>
      </c>
      <c r="AJ96" s="51" t="str">
        <f t="shared" si="109"/>
        <v>1+0.000378599353792262i</v>
      </c>
      <c r="AK96" s="51">
        <f t="shared" si="130"/>
        <v>1.0000000716687327</v>
      </c>
      <c r="AL96" s="51">
        <f t="shared" si="131"/>
        <v>3.7859933570310564E-4</v>
      </c>
      <c r="AM96" s="51" t="e">
        <f t="shared" si="110"/>
        <v>#NUM!</v>
      </c>
      <c r="AN96" s="51" t="e">
        <f t="shared" si="132"/>
        <v>#NUM!</v>
      </c>
      <c r="AO96" s="51" t="e">
        <f t="shared" si="133"/>
        <v>#NUM!</v>
      </c>
      <c r="AP96" s="60" t="e">
        <f t="shared" si="134"/>
        <v>#NUM!</v>
      </c>
      <c r="AQ96" s="51" t="e">
        <f t="shared" si="135"/>
        <v>#NUM!</v>
      </c>
      <c r="AR96" s="63" t="e">
        <f t="shared" si="136"/>
        <v>#NUM!</v>
      </c>
      <c r="AS96" s="32" t="str">
        <f t="shared" si="111"/>
        <v>-0.000170731707317073</v>
      </c>
      <c r="AT96" s="32" t="str">
        <f t="shared" si="112"/>
        <v>0.000014386775444106i</v>
      </c>
      <c r="AU96" s="32">
        <f t="shared" si="137"/>
        <v>1.4386775444106001E-5</v>
      </c>
      <c r="AV96" s="32">
        <f t="shared" si="138"/>
        <v>1.5707963267948966</v>
      </c>
      <c r="AW96" s="32" t="str">
        <f t="shared" si="113"/>
        <v>1+0.00306306803499718i</v>
      </c>
      <c r="AX96" s="32">
        <f t="shared" si="139"/>
        <v>1.0000046911818898</v>
      </c>
      <c r="AY96" s="32">
        <f t="shared" si="140"/>
        <v>3.063058455422442E-3</v>
      </c>
      <c r="AZ96" s="32" t="str">
        <f t="shared" si="114"/>
        <v>1+0.0581982926649465i</v>
      </c>
      <c r="BA96" s="32">
        <f t="shared" si="141"/>
        <v>1.0016920890518777</v>
      </c>
      <c r="BB96" s="32">
        <f t="shared" si="142"/>
        <v>5.8132719200454104E-2</v>
      </c>
      <c r="BC96" s="60" t="str">
        <f t="shared" si="143"/>
        <v>-0.654298300010191+11.8692712889947i</v>
      </c>
      <c r="BD96" s="51">
        <f t="shared" si="144"/>
        <v>21.501658497601678</v>
      </c>
      <c r="BE96" s="63">
        <f t="shared" si="145"/>
        <v>93.155259139907571</v>
      </c>
      <c r="BF96" s="60" t="str">
        <f t="shared" si="146"/>
        <v>39.5069120979232+268.598815742522i</v>
      </c>
      <c r="BG96" s="66">
        <f t="shared" si="147"/>
        <v>48.67503549431931</v>
      </c>
      <c r="BH96" s="63">
        <f t="shared" si="148"/>
        <v>81.632634285561792</v>
      </c>
      <c r="BI96" s="60" t="e">
        <f t="shared" si="101"/>
        <v>#NUM!</v>
      </c>
      <c r="BJ96" s="66" t="e">
        <f t="shared" si="149"/>
        <v>#NUM!</v>
      </c>
      <c r="BK96" s="63" t="e">
        <f t="shared" si="102"/>
        <v>#NUM!</v>
      </c>
      <c r="BL96" s="51">
        <f t="shared" si="150"/>
        <v>48.67503549431931</v>
      </c>
      <c r="BM96" s="63">
        <f t="shared" si="151"/>
        <v>81.632634285561792</v>
      </c>
    </row>
    <row r="97" spans="14:65" x14ac:dyDescent="0.3">
      <c r="N97" s="11">
        <v>79</v>
      </c>
      <c r="O97" s="52">
        <f t="shared" si="115"/>
        <v>61.659500186148257</v>
      </c>
      <c r="P97" s="50" t="str">
        <f t="shared" si="103"/>
        <v>23.3035714285714</v>
      </c>
      <c r="Q97" s="18" t="str">
        <f t="shared" si="104"/>
        <v>1+0.207545392295166i</v>
      </c>
      <c r="R97" s="18">
        <f t="shared" si="116"/>
        <v>1.021310476722409</v>
      </c>
      <c r="S97" s="18">
        <f t="shared" si="117"/>
        <v>0.20464010571897767</v>
      </c>
      <c r="T97" s="18" t="str">
        <f t="shared" si="105"/>
        <v>1+0.000387418065617644i</v>
      </c>
      <c r="U97" s="18">
        <f t="shared" si="118"/>
        <v>1.000000075046376</v>
      </c>
      <c r="V97" s="18">
        <f t="shared" si="119"/>
        <v>3.8741804623476384E-4</v>
      </c>
      <c r="W97" s="32" t="str">
        <f t="shared" si="106"/>
        <v>1-0.000947021938176463i</v>
      </c>
      <c r="X97" s="18">
        <f t="shared" si="120"/>
        <v>1.0000004484251752</v>
      </c>
      <c r="Y97" s="18">
        <f t="shared" si="121"/>
        <v>-9.4702165506423282E-4</v>
      </c>
      <c r="Z97" s="32" t="str">
        <f t="shared" si="107"/>
        <v>0.999999984792424+0.000464795138773128i</v>
      </c>
      <c r="AA97" s="18">
        <f t="shared" si="122"/>
        <v>1.0000000928096804</v>
      </c>
      <c r="AB97" s="18">
        <f t="shared" si="123"/>
        <v>4.6479511237093992E-4</v>
      </c>
      <c r="AC97" s="68" t="str">
        <f t="shared" si="124"/>
        <v>22.3364692608465-4.65970343010776i</v>
      </c>
      <c r="AD97" s="66">
        <f t="shared" si="125"/>
        <v>27.165297694558859</v>
      </c>
      <c r="AE97" s="63">
        <f t="shared" si="126"/>
        <v>-11.783708100071816</v>
      </c>
      <c r="AF97" s="51" t="e">
        <f t="shared" si="127"/>
        <v>#NUM!</v>
      </c>
      <c r="AG97" s="51" t="str">
        <f t="shared" si="108"/>
        <v>1-0.290563549213234i</v>
      </c>
      <c r="AH97" s="51">
        <f t="shared" si="128"/>
        <v>1.0413583322427451</v>
      </c>
      <c r="AI97" s="51">
        <f t="shared" si="129"/>
        <v>-0.28277717497442029</v>
      </c>
      <c r="AJ97" s="51" t="str">
        <f t="shared" si="109"/>
        <v>1+0.000387418065617644i</v>
      </c>
      <c r="AK97" s="51">
        <f t="shared" si="130"/>
        <v>1.000000075046376</v>
      </c>
      <c r="AL97" s="51">
        <f t="shared" si="131"/>
        <v>3.8741804623476384E-4</v>
      </c>
      <c r="AM97" s="51" t="e">
        <f t="shared" si="110"/>
        <v>#NUM!</v>
      </c>
      <c r="AN97" s="51" t="e">
        <f t="shared" si="132"/>
        <v>#NUM!</v>
      </c>
      <c r="AO97" s="51" t="e">
        <f t="shared" si="133"/>
        <v>#NUM!</v>
      </c>
      <c r="AP97" s="60" t="e">
        <f t="shared" si="134"/>
        <v>#NUM!</v>
      </c>
      <c r="AQ97" s="51" t="e">
        <f t="shared" si="135"/>
        <v>#NUM!</v>
      </c>
      <c r="AR97" s="63" t="e">
        <f t="shared" si="136"/>
        <v>#NUM!</v>
      </c>
      <c r="AS97" s="32" t="str">
        <f t="shared" si="111"/>
        <v>-0.000170731707317073</v>
      </c>
      <c r="AT97" s="32" t="str">
        <f t="shared" si="112"/>
        <v>0.0000147218864934705i</v>
      </c>
      <c r="AU97" s="32">
        <f t="shared" si="137"/>
        <v>1.4721886493470499E-5</v>
      </c>
      <c r="AV97" s="32">
        <f t="shared" si="138"/>
        <v>1.5707963267948966</v>
      </c>
      <c r="AW97" s="32" t="str">
        <f t="shared" si="113"/>
        <v>1+0.0031344160550918i</v>
      </c>
      <c r="AX97" s="32">
        <f t="shared" si="139"/>
        <v>1.0000049122699379</v>
      </c>
      <c r="AY97" s="32">
        <f t="shared" si="140"/>
        <v>3.1344057903952556E-3</v>
      </c>
      <c r="AZ97" s="32" t="str">
        <f t="shared" si="114"/>
        <v>1+0.0595539050467443i</v>
      </c>
      <c r="BA97" s="32">
        <f t="shared" si="141"/>
        <v>1.001771764228917</v>
      </c>
      <c r="BB97" s="32">
        <f t="shared" si="142"/>
        <v>5.9483648523555463E-2</v>
      </c>
      <c r="BC97" s="60" t="str">
        <f t="shared" si="143"/>
        <v>-0.654298010696579+11.5991859914652i</v>
      </c>
      <c r="BD97" s="51">
        <f t="shared" si="144"/>
        <v>21.302347430552331</v>
      </c>
      <c r="BE97" s="63">
        <f t="shared" si="145"/>
        <v>93.228573787368305</v>
      </c>
      <c r="BF97" s="60" t="str">
        <f t="shared" si="146"/>
        <v>39.4340593475311+262.133696033959i</v>
      </c>
      <c r="BG97" s="66">
        <f t="shared" si="147"/>
        <v>48.467645125111183</v>
      </c>
      <c r="BH97" s="63">
        <f t="shared" si="148"/>
        <v>81.444865687296485</v>
      </c>
      <c r="BI97" s="60" t="e">
        <f t="shared" si="101"/>
        <v>#NUM!</v>
      </c>
      <c r="BJ97" s="66" t="e">
        <f t="shared" si="149"/>
        <v>#NUM!</v>
      </c>
      <c r="BK97" s="63" t="e">
        <f t="shared" si="102"/>
        <v>#NUM!</v>
      </c>
      <c r="BL97" s="51">
        <f t="shared" si="150"/>
        <v>48.467645125111183</v>
      </c>
      <c r="BM97" s="63">
        <f t="shared" si="151"/>
        <v>81.444865687296485</v>
      </c>
    </row>
    <row r="98" spans="14:65" x14ac:dyDescent="0.3">
      <c r="N98" s="11">
        <v>80</v>
      </c>
      <c r="O98" s="52">
        <f t="shared" si="115"/>
        <v>63.095734448019364</v>
      </c>
      <c r="P98" s="50" t="str">
        <f t="shared" si="103"/>
        <v>23.3035714285714</v>
      </c>
      <c r="Q98" s="18" t="str">
        <f t="shared" si="104"/>
        <v>1+0.212379745515803i</v>
      </c>
      <c r="R98" s="18">
        <f t="shared" si="116"/>
        <v>1.0223038473493862</v>
      </c>
      <c r="S98" s="18">
        <f t="shared" si="117"/>
        <v>0.20927033128308861</v>
      </c>
      <c r="T98" s="18" t="str">
        <f t="shared" si="105"/>
        <v>1+0.0003964421916295i</v>
      </c>
      <c r="U98" s="18">
        <f t="shared" si="118"/>
        <v>1.0000000785832026</v>
      </c>
      <c r="V98" s="18">
        <f t="shared" si="119"/>
        <v>3.9644217086036979E-4</v>
      </c>
      <c r="W98" s="32" t="str">
        <f t="shared" si="106"/>
        <v>1-0.000969080912872111i</v>
      </c>
      <c r="X98" s="18">
        <f t="shared" si="120"/>
        <v>1.0000004695587976</v>
      </c>
      <c r="Y98" s="18">
        <f t="shared" si="121"/>
        <v>-9.6908060951189851E-4</v>
      </c>
      <c r="Z98" s="32" t="str">
        <f t="shared" si="107"/>
        <v>0.999999984075713+0.000475621608352702i</v>
      </c>
      <c r="AA98" s="18">
        <f t="shared" si="122"/>
        <v>1.0000000971836656</v>
      </c>
      <c r="AB98" s="18">
        <f t="shared" si="123"/>
        <v>4.7562158006224793E-4</v>
      </c>
      <c r="AC98" s="68" t="str">
        <f t="shared" si="124"/>
        <v>22.2928582225697-4.75897976489333i</v>
      </c>
      <c r="AD98" s="66">
        <f t="shared" si="125"/>
        <v>27.156853705811766</v>
      </c>
      <c r="AE98" s="63">
        <f t="shared" si="126"/>
        <v>-12.050367634730161</v>
      </c>
      <c r="AF98" s="51" t="e">
        <f t="shared" si="127"/>
        <v>#NUM!</v>
      </c>
      <c r="AG98" s="51" t="str">
        <f t="shared" si="108"/>
        <v>1-0.297331643722126i</v>
      </c>
      <c r="AH98" s="51">
        <f t="shared" si="128"/>
        <v>1.0432670350195588</v>
      </c>
      <c r="AI98" s="51">
        <f t="shared" si="129"/>
        <v>-0.28900696691500993</v>
      </c>
      <c r="AJ98" s="51" t="str">
        <f t="shared" si="109"/>
        <v>1+0.0003964421916295i</v>
      </c>
      <c r="AK98" s="51">
        <f t="shared" si="130"/>
        <v>1.0000000785832026</v>
      </c>
      <c r="AL98" s="51">
        <f t="shared" si="131"/>
        <v>3.9644217086036979E-4</v>
      </c>
      <c r="AM98" s="51" t="e">
        <f t="shared" si="110"/>
        <v>#NUM!</v>
      </c>
      <c r="AN98" s="51" t="e">
        <f t="shared" si="132"/>
        <v>#NUM!</v>
      </c>
      <c r="AO98" s="51" t="e">
        <f t="shared" si="133"/>
        <v>#NUM!</v>
      </c>
      <c r="AP98" s="60" t="e">
        <f t="shared" si="134"/>
        <v>#NUM!</v>
      </c>
      <c r="AQ98" s="51" t="e">
        <f t="shared" si="135"/>
        <v>#NUM!</v>
      </c>
      <c r="AR98" s="63" t="e">
        <f t="shared" si="136"/>
        <v>#NUM!</v>
      </c>
      <c r="AS98" s="32" t="str">
        <f t="shared" si="111"/>
        <v>-0.000170731707317073</v>
      </c>
      <c r="AT98" s="32" t="str">
        <f t="shared" si="112"/>
        <v>0.000015064803281921i</v>
      </c>
      <c r="AU98" s="32">
        <f t="shared" si="137"/>
        <v>1.5064803281921E-5</v>
      </c>
      <c r="AV98" s="32">
        <f t="shared" si="138"/>
        <v>1.5707963267948966</v>
      </c>
      <c r="AW98" s="32" t="str">
        <f t="shared" si="113"/>
        <v>1+0.00320742598406772i</v>
      </c>
      <c r="AX98" s="32">
        <f t="shared" si="139"/>
        <v>1.0000051437774924</v>
      </c>
      <c r="AY98" s="32">
        <f t="shared" si="140"/>
        <v>3.2074149852502659E-3</v>
      </c>
      <c r="AZ98" s="32" t="str">
        <f t="shared" si="114"/>
        <v>1+0.0609410936972868i</v>
      </c>
      <c r="BA98" s="32">
        <f t="shared" si="141"/>
        <v>1.0018551875900137</v>
      </c>
      <c r="BB98" s="32">
        <f t="shared" si="142"/>
        <v>6.086582000328053E-2</v>
      </c>
      <c r="BC98" s="60" t="str">
        <f t="shared" si="143"/>
        <v>-0.654297707748308+11.3352507357963i</v>
      </c>
      <c r="BD98" s="51">
        <f t="shared" si="144"/>
        <v>21.103068714144531</v>
      </c>
      <c r="BE98" s="63">
        <f t="shared" si="145"/>
        <v>93.303583260989043</v>
      </c>
      <c r="BF98" s="60" t="str">
        <f t="shared" si="146"/>
        <v>39.3580628474614+255.808927121776i</v>
      </c>
      <c r="BG98" s="66">
        <f t="shared" si="147"/>
        <v>48.25992241995629</v>
      </c>
      <c r="BH98" s="63">
        <f t="shared" si="148"/>
        <v>81.253215626258907</v>
      </c>
      <c r="BI98" s="60" t="e">
        <f t="shared" si="101"/>
        <v>#NUM!</v>
      </c>
      <c r="BJ98" s="66" t="e">
        <f t="shared" si="149"/>
        <v>#NUM!</v>
      </c>
      <c r="BK98" s="63" t="e">
        <f t="shared" si="102"/>
        <v>#NUM!</v>
      </c>
      <c r="BL98" s="51">
        <f t="shared" si="150"/>
        <v>48.25992241995629</v>
      </c>
      <c r="BM98" s="63">
        <f t="shared" si="151"/>
        <v>81.253215626258907</v>
      </c>
    </row>
    <row r="99" spans="14:65" x14ac:dyDescent="0.3">
      <c r="N99" s="11">
        <v>81</v>
      </c>
      <c r="O99" s="52">
        <f t="shared" si="115"/>
        <v>64.565422903465588</v>
      </c>
      <c r="P99" s="50" t="str">
        <f t="shared" si="103"/>
        <v>23.3035714285714</v>
      </c>
      <c r="Q99" s="18" t="str">
        <f t="shared" si="104"/>
        <v>1+0.217326705288691i</v>
      </c>
      <c r="R99" s="18">
        <f t="shared" si="116"/>
        <v>1.0233430005778306</v>
      </c>
      <c r="S99" s="18">
        <f t="shared" si="117"/>
        <v>0.21399899879759665</v>
      </c>
      <c r="T99" s="18" t="str">
        <f t="shared" si="105"/>
        <v>1+0.000405676516538891i</v>
      </c>
      <c r="U99" s="18">
        <f t="shared" si="118"/>
        <v>1.0000000822867146</v>
      </c>
      <c r="V99" s="18">
        <f t="shared" si="119"/>
        <v>4.0567649428436707E-4</v>
      </c>
      <c r="W99" s="32" t="str">
        <f t="shared" si="106"/>
        <v>1-0.000991653707095067i</v>
      </c>
      <c r="X99" s="18">
        <f t="shared" si="120"/>
        <v>1.0000004916884166</v>
      </c>
      <c r="Y99" s="18">
        <f t="shared" si="121"/>
        <v>-9.9165338203875165E-4</v>
      </c>
      <c r="Z99" s="32" t="str">
        <f t="shared" si="107"/>
        <v>0.999999983325225+0.000486700258804621i</v>
      </c>
      <c r="AA99" s="18">
        <f t="shared" si="122"/>
        <v>1.0000001017637909</v>
      </c>
      <c r="AB99" s="18">
        <f t="shared" si="123"/>
        <v>4.867002284908532E-4</v>
      </c>
      <c r="AC99" s="68" t="str">
        <f t="shared" si="124"/>
        <v>22.2473730807241-4.85994550777049i</v>
      </c>
      <c r="AD99" s="66">
        <f t="shared" si="125"/>
        <v>27.148029326148709</v>
      </c>
      <c r="AE99" s="63">
        <f t="shared" si="126"/>
        <v>-12.322699322668608</v>
      </c>
      <c r="AF99" s="51" t="e">
        <f t="shared" si="127"/>
        <v>#NUM!</v>
      </c>
      <c r="AG99" s="51" t="str">
        <f t="shared" si="108"/>
        <v>1-0.304257387404169i</v>
      </c>
      <c r="AH99" s="51">
        <f t="shared" si="128"/>
        <v>1.0452619565400869</v>
      </c>
      <c r="AI99" s="51">
        <f t="shared" si="129"/>
        <v>-0.29535806332309</v>
      </c>
      <c r="AJ99" s="51" t="str">
        <f t="shared" si="109"/>
        <v>1+0.000405676516538891i</v>
      </c>
      <c r="AK99" s="51">
        <f t="shared" si="130"/>
        <v>1.0000000822867146</v>
      </c>
      <c r="AL99" s="51">
        <f t="shared" si="131"/>
        <v>4.0567649428436707E-4</v>
      </c>
      <c r="AM99" s="51" t="e">
        <f t="shared" si="110"/>
        <v>#NUM!</v>
      </c>
      <c r="AN99" s="51" t="e">
        <f t="shared" si="132"/>
        <v>#NUM!</v>
      </c>
      <c r="AO99" s="51" t="e">
        <f t="shared" si="133"/>
        <v>#NUM!</v>
      </c>
      <c r="AP99" s="60" t="e">
        <f t="shared" si="134"/>
        <v>#NUM!</v>
      </c>
      <c r="AQ99" s="51" t="e">
        <f t="shared" si="135"/>
        <v>#NUM!</v>
      </c>
      <c r="AR99" s="63" t="e">
        <f t="shared" si="136"/>
        <v>#NUM!</v>
      </c>
      <c r="AS99" s="32" t="str">
        <f t="shared" si="111"/>
        <v>-0.000170731707317073</v>
      </c>
      <c r="AT99" s="32" t="str">
        <f t="shared" si="112"/>
        <v>0.0000154157076284779i</v>
      </c>
      <c r="AU99" s="32">
        <f t="shared" si="137"/>
        <v>1.5415707628477899E-5</v>
      </c>
      <c r="AV99" s="32">
        <f t="shared" si="138"/>
        <v>1.5707963267948966</v>
      </c>
      <c r="AW99" s="32" t="str">
        <f t="shared" si="113"/>
        <v>1+0.0032821365327557i</v>
      </c>
      <c r="AX99" s="32">
        <f t="shared" si="139"/>
        <v>1.0000053861956042</v>
      </c>
      <c r="AY99" s="32">
        <f t="shared" si="140"/>
        <v>3.2821247473138913E-3</v>
      </c>
      <c r="AZ99" s="32" t="str">
        <f t="shared" si="114"/>
        <v>1+0.0623605941223584i</v>
      </c>
      <c r="BA99" s="32">
        <f t="shared" si="141"/>
        <v>1.0019425351282845</v>
      </c>
      <c r="BB99" s="32">
        <f t="shared" si="142"/>
        <v>6.2279945349328472E-2</v>
      </c>
      <c r="BC99" s="60" t="str">
        <f t="shared" si="143"/>
        <v>-0.654297390522823+11.0773255800156i</v>
      </c>
      <c r="BD99" s="51">
        <f t="shared" si="144"/>
        <v>20.903823861697923</v>
      </c>
      <c r="BE99" s="63">
        <f t="shared" si="145"/>
        <v>93.380326120965393</v>
      </c>
      <c r="BF99" s="60" t="str">
        <f t="shared" si="146"/>
        <v>39.2788005380025+249.621244579073i</v>
      </c>
      <c r="BG99" s="66">
        <f t="shared" si="147"/>
        <v>48.051853187846632</v>
      </c>
      <c r="BH99" s="63">
        <f t="shared" si="148"/>
        <v>81.057626798296795</v>
      </c>
      <c r="BI99" s="60" t="e">
        <f t="shared" si="101"/>
        <v>#NUM!</v>
      </c>
      <c r="BJ99" s="66" t="e">
        <f t="shared" si="149"/>
        <v>#NUM!</v>
      </c>
      <c r="BK99" s="63" t="e">
        <f t="shared" si="102"/>
        <v>#NUM!</v>
      </c>
      <c r="BL99" s="51">
        <f t="shared" si="150"/>
        <v>48.051853187846632</v>
      </c>
      <c r="BM99" s="63">
        <f t="shared" si="151"/>
        <v>81.057626798296795</v>
      </c>
    </row>
    <row r="100" spans="14:65" x14ac:dyDescent="0.3">
      <c r="N100" s="11">
        <v>82</v>
      </c>
      <c r="O100" s="52">
        <f t="shared" si="115"/>
        <v>66.069344800759623</v>
      </c>
      <c r="P100" s="50" t="str">
        <f t="shared" si="103"/>
        <v>23.3035714285714</v>
      </c>
      <c r="Q100" s="18" t="str">
        <f t="shared" si="104"/>
        <v>1+0.222388894557383i</v>
      </c>
      <c r="R100" s="18">
        <f t="shared" si="116"/>
        <v>1.0244299978146163</v>
      </c>
      <c r="S100" s="18">
        <f t="shared" si="117"/>
        <v>0.21882776919803995</v>
      </c>
      <c r="T100" s="18" t="str">
        <f t="shared" si="105"/>
        <v>1+0.000415125936507115i</v>
      </c>
      <c r="U100" s="18">
        <f t="shared" si="118"/>
        <v>1.0000000861647678</v>
      </c>
      <c r="V100" s="18">
        <f t="shared" si="119"/>
        <v>4.151259126609631E-4</v>
      </c>
      <c r="W100" s="32" t="str">
        <f t="shared" si="106"/>
        <v>1-0.00101475228923961i</v>
      </c>
      <c r="X100" s="18">
        <f t="shared" si="120"/>
        <v>1.0000005148609719</v>
      </c>
      <c r="Y100" s="18">
        <f t="shared" si="121"/>
        <v>-1.0147519409355024E-3</v>
      </c>
      <c r="Z100" s="32" t="str">
        <f t="shared" si="107"/>
        <v>0.999999982539367+0.000498036964175998i</v>
      </c>
      <c r="AA100" s="18">
        <f t="shared" si="122"/>
        <v>1.0000001065597703</v>
      </c>
      <c r="AB100" s="18">
        <f t="shared" si="123"/>
        <v>4.9803693169421092E-4</v>
      </c>
      <c r="AC100" s="68" t="str">
        <f t="shared" si="124"/>
        <v>22.1999417871148-4.96259998797839i</v>
      </c>
      <c r="AD100" s="66">
        <f t="shared" si="125"/>
        <v>27.138808244504055</v>
      </c>
      <c r="AE100" s="63">
        <f t="shared" si="126"/>
        <v>-12.600799070244621</v>
      </c>
      <c r="AF100" s="51" t="e">
        <f t="shared" si="127"/>
        <v>#NUM!</v>
      </c>
      <c r="AG100" s="51" t="str">
        <f t="shared" si="108"/>
        <v>1-0.311344452380337i</v>
      </c>
      <c r="AH100" s="51">
        <f t="shared" si="128"/>
        <v>1.0473468231813241</v>
      </c>
      <c r="AI100" s="51">
        <f t="shared" si="129"/>
        <v>-0.30183178142604256</v>
      </c>
      <c r="AJ100" s="51" t="str">
        <f t="shared" si="109"/>
        <v>1+0.000415125936507115i</v>
      </c>
      <c r="AK100" s="51">
        <f t="shared" si="130"/>
        <v>1.0000000861647678</v>
      </c>
      <c r="AL100" s="51">
        <f t="shared" si="131"/>
        <v>4.151259126609631E-4</v>
      </c>
      <c r="AM100" s="51" t="e">
        <f t="shared" si="110"/>
        <v>#NUM!</v>
      </c>
      <c r="AN100" s="51" t="e">
        <f t="shared" si="132"/>
        <v>#NUM!</v>
      </c>
      <c r="AO100" s="51" t="e">
        <f t="shared" si="133"/>
        <v>#NUM!</v>
      </c>
      <c r="AP100" s="60" t="e">
        <f t="shared" si="134"/>
        <v>#NUM!</v>
      </c>
      <c r="AQ100" s="51" t="e">
        <f t="shared" si="135"/>
        <v>#NUM!</v>
      </c>
      <c r="AR100" s="63" t="e">
        <f t="shared" si="136"/>
        <v>#NUM!</v>
      </c>
      <c r="AS100" s="32" t="str">
        <f t="shared" si="111"/>
        <v>-0.000170731707317073</v>
      </c>
      <c r="AT100" s="32" t="str">
        <f t="shared" si="112"/>
        <v>0.0000157747855872704i</v>
      </c>
      <c r="AU100" s="32">
        <f t="shared" si="137"/>
        <v>1.5774785587270401E-5</v>
      </c>
      <c r="AV100" s="32">
        <f t="shared" si="138"/>
        <v>1.5707963267948966</v>
      </c>
      <c r="AW100" s="32" t="str">
        <f t="shared" si="113"/>
        <v>1+0.00335858731367756i</v>
      </c>
      <c r="AX100" s="32">
        <f t="shared" si="139"/>
        <v>1.0000056400384667</v>
      </c>
      <c r="AY100" s="32">
        <f t="shared" si="140"/>
        <v>3.3585746853529884E-3</v>
      </c>
      <c r="AZ100" s="32" t="str">
        <f t="shared" si="114"/>
        <v>1+0.0638131589598737i</v>
      </c>
      <c r="BA100" s="32">
        <f t="shared" si="141"/>
        <v>1.002033991068386</v>
      </c>
      <c r="BB100" s="32">
        <f t="shared" si="142"/>
        <v>6.3726751713722288E-2</v>
      </c>
      <c r="BC100" s="60" t="str">
        <f t="shared" si="143"/>
        <v>-0.654297058347294+10.825273768785i</v>
      </c>
      <c r="BD100" s="51">
        <f t="shared" si="144"/>
        <v>20.704614456767182</v>
      </c>
      <c r="BE100" s="63">
        <f t="shared" si="145"/>
        <v>93.458841760624168</v>
      </c>
      <c r="BF100" s="60" t="str">
        <f t="shared" si="146"/>
        <v>39.1961468680448+243.567462070496i</v>
      </c>
      <c r="BG100" s="66">
        <f t="shared" si="147"/>
        <v>47.843422701271223</v>
      </c>
      <c r="BH100" s="63">
        <f t="shared" si="148"/>
        <v>80.858042690379548</v>
      </c>
      <c r="BI100" s="60" t="e">
        <f t="shared" si="101"/>
        <v>#NUM!</v>
      </c>
      <c r="BJ100" s="66" t="e">
        <f t="shared" si="149"/>
        <v>#NUM!</v>
      </c>
      <c r="BK100" s="63" t="e">
        <f t="shared" si="102"/>
        <v>#NUM!</v>
      </c>
      <c r="BL100" s="51">
        <f t="shared" si="150"/>
        <v>47.843422701271223</v>
      </c>
      <c r="BM100" s="63">
        <f t="shared" si="151"/>
        <v>80.858042690379548</v>
      </c>
    </row>
    <row r="101" spans="14:65" x14ac:dyDescent="0.3">
      <c r="N101" s="11">
        <v>83</v>
      </c>
      <c r="O101" s="52">
        <f t="shared" si="115"/>
        <v>67.60829753919819</v>
      </c>
      <c r="P101" s="50" t="str">
        <f t="shared" si="103"/>
        <v>23.3035714285714</v>
      </c>
      <c r="Q101" s="18" t="str">
        <f t="shared" si="104"/>
        <v>1+0.227568997361633i</v>
      </c>
      <c r="R101" s="18">
        <f t="shared" si="116"/>
        <v>1.0255669888213927</v>
      </c>
      <c r="S101" s="18">
        <f t="shared" si="117"/>
        <v>0.22375830160959334</v>
      </c>
      <c r="T101" s="18" t="str">
        <f t="shared" si="105"/>
        <v>1+0.000424795461741716i</v>
      </c>
      <c r="U101" s="18">
        <f t="shared" si="118"/>
        <v>1.0000000902255881</v>
      </c>
      <c r="V101" s="18">
        <f t="shared" si="119"/>
        <v>4.2479543619010406E-4</v>
      </c>
      <c r="W101" s="32" t="str">
        <f t="shared" si="106"/>
        <v>1-0.00103838890647975i</v>
      </c>
      <c r="X101" s="18">
        <f t="shared" si="120"/>
        <v>1.0000005391256153</v>
      </c>
      <c r="Y101" s="18">
        <f t="shared" si="121"/>
        <v>-1.0383885332651856E-3</v>
      </c>
      <c r="Z101" s="32" t="str">
        <f t="shared" si="107"/>
        <v>0.999999981716472+0.00050963773533808i</v>
      </c>
      <c r="AA101" s="18">
        <f t="shared" si="122"/>
        <v>1.0000001115817765</v>
      </c>
      <c r="AB101" s="18">
        <f t="shared" si="123"/>
        <v>5.0963770053321852E-4</v>
      </c>
      <c r="AC101" s="68" t="str">
        <f t="shared" si="124"/>
        <v>22.1504903007335-5.0669401659781i</v>
      </c>
      <c r="AD101" s="66">
        <f t="shared" si="125"/>
        <v>27.129173526004273</v>
      </c>
      <c r="AE101" s="63">
        <f t="shared" si="126"/>
        <v>-12.884762697367105</v>
      </c>
      <c r="AF101" s="51" t="e">
        <f t="shared" si="127"/>
        <v>#NUM!</v>
      </c>
      <c r="AG101" s="51" t="str">
        <f t="shared" si="108"/>
        <v>1-0.318596596306288i</v>
      </c>
      <c r="AH101" s="51">
        <f t="shared" si="128"/>
        <v>1.0495255076356895</v>
      </c>
      <c r="AI101" s="51">
        <f t="shared" si="129"/>
        <v>-0.30842938242532431</v>
      </c>
      <c r="AJ101" s="51" t="str">
        <f t="shared" si="109"/>
        <v>1+0.000424795461741716i</v>
      </c>
      <c r="AK101" s="51">
        <f t="shared" si="130"/>
        <v>1.0000000902255881</v>
      </c>
      <c r="AL101" s="51">
        <f t="shared" si="131"/>
        <v>4.2479543619010406E-4</v>
      </c>
      <c r="AM101" s="51" t="e">
        <f t="shared" si="110"/>
        <v>#NUM!</v>
      </c>
      <c r="AN101" s="51" t="e">
        <f t="shared" si="132"/>
        <v>#NUM!</v>
      </c>
      <c r="AO101" s="51" t="e">
        <f t="shared" si="133"/>
        <v>#NUM!</v>
      </c>
      <c r="AP101" s="60" t="e">
        <f t="shared" si="134"/>
        <v>#NUM!</v>
      </c>
      <c r="AQ101" s="51" t="e">
        <f t="shared" si="135"/>
        <v>#NUM!</v>
      </c>
      <c r="AR101" s="63" t="e">
        <f t="shared" si="136"/>
        <v>#NUM!</v>
      </c>
      <c r="AS101" s="32" t="str">
        <f t="shared" si="111"/>
        <v>-0.000170731707317073</v>
      </c>
      <c r="AT101" s="32" t="str">
        <f t="shared" si="112"/>
        <v>0.0000161422275461852i</v>
      </c>
      <c r="AU101" s="32">
        <f t="shared" si="137"/>
        <v>1.6142227546185201E-5</v>
      </c>
      <c r="AV101" s="32">
        <f t="shared" si="138"/>
        <v>1.5707963267948966</v>
      </c>
      <c r="AW101" s="32" t="str">
        <f t="shared" si="113"/>
        <v>1+0.00343681886204929i</v>
      </c>
      <c r="AX101" s="32">
        <f t="shared" si="139"/>
        <v>1.0000059058445057</v>
      </c>
      <c r="AY101" s="32">
        <f t="shared" si="140"/>
        <v>3.4368053305600344E-3</v>
      </c>
      <c r="AZ101" s="32" t="str">
        <f t="shared" si="114"/>
        <v>1+0.0652995583789366i</v>
      </c>
      <c r="BA101" s="32">
        <f t="shared" si="141"/>
        <v>1.0021297482484413</v>
      </c>
      <c r="BB101" s="32">
        <f t="shared" si="142"/>
        <v>6.5206981970478001E-2</v>
      </c>
      <c r="BC101" s="60" t="str">
        <f t="shared" si="143"/>
        <v>-0.654296710517176+10.5789616608909i</v>
      </c>
      <c r="BD101" s="51">
        <f t="shared" si="144"/>
        <v>20.505442156348082</v>
      </c>
      <c r="BE101" s="63">
        <f t="shared" si="145"/>
        <v>93.53917042124489</v>
      </c>
      <c r="BF101" s="60" t="str">
        <f t="shared" si="146"/>
        <v>39.109972813798+237.644469944382i</v>
      </c>
      <c r="BG101" s="66">
        <f t="shared" si="147"/>
        <v>47.634615682352347</v>
      </c>
      <c r="BH101" s="63">
        <f t="shared" si="148"/>
        <v>80.654407723877767</v>
      </c>
      <c r="BI101" s="60" t="e">
        <f t="shared" si="101"/>
        <v>#NUM!</v>
      </c>
      <c r="BJ101" s="66" t="e">
        <f t="shared" si="149"/>
        <v>#NUM!</v>
      </c>
      <c r="BK101" s="63" t="e">
        <f t="shared" si="102"/>
        <v>#NUM!</v>
      </c>
      <c r="BL101" s="51">
        <f t="shared" si="150"/>
        <v>47.634615682352347</v>
      </c>
      <c r="BM101" s="63">
        <f t="shared" si="151"/>
        <v>80.654407723877767</v>
      </c>
    </row>
    <row r="102" spans="14:65" x14ac:dyDescent="0.3">
      <c r="N102" s="11">
        <v>84</v>
      </c>
      <c r="O102" s="52">
        <f t="shared" si="115"/>
        <v>69.183097091893657</v>
      </c>
      <c r="P102" s="50" t="str">
        <f t="shared" si="103"/>
        <v>23.3035714285714</v>
      </c>
      <c r="Q102" s="18" t="str">
        <f t="shared" si="104"/>
        <v>1+0.232869760260517i</v>
      </c>
      <c r="R102" s="18">
        <f t="shared" si="116"/>
        <v>1.0267562150986917</v>
      </c>
      <c r="S102" s="18">
        <f t="shared" si="117"/>
        <v>0.22879225093571295</v>
      </c>
      <c r="T102" s="18" t="str">
        <f t="shared" si="105"/>
        <v>1+0.000434690219152965i</v>
      </c>
      <c r="U102" s="18">
        <f t="shared" si="118"/>
        <v>1.0000000944777889</v>
      </c>
      <c r="V102" s="18">
        <f t="shared" si="119"/>
        <v>4.3469019177391961E-4</v>
      </c>
      <c r="W102" s="32" t="str">
        <f t="shared" si="106"/>
        <v>1-0.0010625760912628i</v>
      </c>
      <c r="X102" s="18">
        <f t="shared" si="120"/>
        <v>1.0000005645338155</v>
      </c>
      <c r="Y102" s="18">
        <f t="shared" si="121"/>
        <v>-1.0625756913562013E-3</v>
      </c>
      <c r="Z102" s="32" t="str">
        <f t="shared" si="107"/>
        <v>0.999999980854796+0.000521508723173291i</v>
      </c>
      <c r="AA102" s="18">
        <f t="shared" si="122"/>
        <v>1.0000001168404635</v>
      </c>
      <c r="AB102" s="18">
        <f t="shared" si="123"/>
        <v>5.2150868587921015E-4</v>
      </c>
      <c r="AC102" s="68" t="str">
        <f t="shared" si="124"/>
        <v>22.0989426065301-5.17296046491848i</v>
      </c>
      <c r="AD102" s="66">
        <f t="shared" si="125"/>
        <v>27.119107595023952</v>
      </c>
      <c r="AE102" s="63">
        <f t="shared" si="126"/>
        <v>-13.174685799738231</v>
      </c>
      <c r="AF102" s="51" t="e">
        <f t="shared" si="127"/>
        <v>#NUM!</v>
      </c>
      <c r="AG102" s="51" t="str">
        <f t="shared" si="108"/>
        <v>1-0.326017664364725i</v>
      </c>
      <c r="AH102" s="51">
        <f t="shared" si="128"/>
        <v>1.0518020334063964</v>
      </c>
      <c r="AI102" s="51">
        <f t="shared" si="129"/>
        <v>-0.31515206617588798</v>
      </c>
      <c r="AJ102" s="51" t="str">
        <f t="shared" si="109"/>
        <v>1+0.000434690219152965i</v>
      </c>
      <c r="AK102" s="51">
        <f t="shared" si="130"/>
        <v>1.0000000944777889</v>
      </c>
      <c r="AL102" s="51">
        <f t="shared" si="131"/>
        <v>4.3469019177391961E-4</v>
      </c>
      <c r="AM102" s="51" t="e">
        <f t="shared" si="110"/>
        <v>#NUM!</v>
      </c>
      <c r="AN102" s="51" t="e">
        <f t="shared" si="132"/>
        <v>#NUM!</v>
      </c>
      <c r="AO102" s="51" t="e">
        <f t="shared" si="133"/>
        <v>#NUM!</v>
      </c>
      <c r="AP102" s="60" t="e">
        <f t="shared" si="134"/>
        <v>#NUM!</v>
      </c>
      <c r="AQ102" s="51" t="e">
        <f t="shared" si="135"/>
        <v>#NUM!</v>
      </c>
      <c r="AR102" s="63" t="e">
        <f t="shared" si="136"/>
        <v>#NUM!</v>
      </c>
      <c r="AS102" s="32" t="str">
        <f t="shared" si="111"/>
        <v>-0.000170731707317073</v>
      </c>
      <c r="AT102" s="32" t="str">
        <f t="shared" si="112"/>
        <v>0.0000165182283278127i</v>
      </c>
      <c r="AU102" s="32">
        <f t="shared" si="137"/>
        <v>1.6518228327812701E-5</v>
      </c>
      <c r="AV102" s="32">
        <f t="shared" si="138"/>
        <v>1.5707963267948966</v>
      </c>
      <c r="AW102" s="32" t="str">
        <f t="shared" si="113"/>
        <v>1+0.00351687265727335i</v>
      </c>
      <c r="AX102" s="32">
        <f t="shared" si="139"/>
        <v>1.0000061841775219</v>
      </c>
      <c r="AY102" s="32">
        <f t="shared" si="140"/>
        <v>3.516858158026227E-3</v>
      </c>
      <c r="AZ102" s="32" t="str">
        <f t="shared" si="114"/>
        <v>1+0.0668205804881938i</v>
      </c>
      <c r="BA102" s="32">
        <f t="shared" si="141"/>
        <v>1.0022300085193914</v>
      </c>
      <c r="BB102" s="32">
        <f t="shared" si="142"/>
        <v>6.6721394996206648E-2</v>
      </c>
      <c r="BC102" s="60" t="str">
        <f t="shared" si="143"/>
        <v>-0.654296346294725+10.3382586583858i</v>
      </c>
      <c r="BD102" s="51">
        <f t="shared" si="144"/>
        <v>20.306308694224953</v>
      </c>
      <c r="BE102" s="63">
        <f t="shared" si="145"/>
        <v>93.621353206906875</v>
      </c>
      <c r="BF102" s="60" t="str">
        <f t="shared" si="146"/>
        <v>39.0201459115014+231.849233874854i</v>
      </c>
      <c r="BG102" s="66">
        <f t="shared" si="147"/>
        <v>47.425416289248908</v>
      </c>
      <c r="BH102" s="63">
        <f t="shared" si="148"/>
        <v>80.446667407168661</v>
      </c>
      <c r="BI102" s="60" t="e">
        <f t="shared" si="101"/>
        <v>#NUM!</v>
      </c>
      <c r="BJ102" s="66" t="e">
        <f t="shared" si="149"/>
        <v>#NUM!</v>
      </c>
      <c r="BK102" s="63" t="e">
        <f t="shared" si="102"/>
        <v>#NUM!</v>
      </c>
      <c r="BL102" s="51">
        <f t="shared" si="150"/>
        <v>47.425416289248908</v>
      </c>
      <c r="BM102" s="63">
        <f t="shared" si="151"/>
        <v>80.446667407168661</v>
      </c>
    </row>
    <row r="103" spans="14:65" x14ac:dyDescent="0.3">
      <c r="N103" s="11">
        <v>85</v>
      </c>
      <c r="O103" s="52">
        <f t="shared" si="115"/>
        <v>70.794578438413865</v>
      </c>
      <c r="P103" s="50" t="str">
        <f t="shared" si="103"/>
        <v>23.3035714285714</v>
      </c>
      <c r="Q103" s="18" t="str">
        <f t="shared" si="104"/>
        <v>1+0.238293993788686i</v>
      </c>
      <c r="R103" s="18">
        <f t="shared" si="116"/>
        <v>1.0280000133636975</v>
      </c>
      <c r="S103" s="18">
        <f t="shared" si="117"/>
        <v>0.23393126527786709</v>
      </c>
      <c r="T103" s="18" t="str">
        <f t="shared" si="105"/>
        <v>1+0.000444815455072215i</v>
      </c>
      <c r="U103" s="18">
        <f t="shared" si="118"/>
        <v>1.0000000989303897</v>
      </c>
      <c r="V103" s="18">
        <f t="shared" si="119"/>
        <v>4.448154257350395E-4</v>
      </c>
      <c r="W103" s="32" t="str">
        <f t="shared" si="106"/>
        <v>1-0.0010873266679543i</v>
      </c>
      <c r="X103" s="18">
        <f t="shared" si="120"/>
        <v>1.0000005911394667</v>
      </c>
      <c r="Y103" s="18">
        <f t="shared" si="121"/>
        <v>-1.0873262394466728E-3</v>
      </c>
      <c r="Z103" s="32" t="str">
        <f t="shared" si="107"/>
        <v>0.999999979952511+0.000533656221836513i</v>
      </c>
      <c r="AA103" s="18">
        <f t="shared" si="122"/>
        <v>1.0000001223469852</v>
      </c>
      <c r="AB103" s="18">
        <f t="shared" si="123"/>
        <v>5.3365618187518546E-4</v>
      </c>
      <c r="AC103" s="68" t="str">
        <f t="shared" si="124"/>
        <v>22.0452207429928-5.28065259563575i</v>
      </c>
      <c r="AD103" s="66">
        <f t="shared" si="125"/>
        <v>27.108592218439519</v>
      </c>
      <c r="AE103" s="63">
        <f t="shared" si="126"/>
        <v>-13.470663601426775</v>
      </c>
      <c r="AF103" s="51" t="e">
        <f t="shared" si="127"/>
        <v>#NUM!</v>
      </c>
      <c r="AG103" s="51" t="str">
        <f t="shared" si="108"/>
        <v>1-0.333611591304162i</v>
      </c>
      <c r="AH103" s="51">
        <f t="shared" si="128"/>
        <v>1.0541805793375703</v>
      </c>
      <c r="AI103" s="51">
        <f t="shared" si="129"/>
        <v>-0.32200096566147435</v>
      </c>
      <c r="AJ103" s="51" t="str">
        <f t="shared" si="109"/>
        <v>1+0.000444815455072215i</v>
      </c>
      <c r="AK103" s="51">
        <f t="shared" si="130"/>
        <v>1.0000000989303897</v>
      </c>
      <c r="AL103" s="51">
        <f t="shared" si="131"/>
        <v>4.448154257350395E-4</v>
      </c>
      <c r="AM103" s="51" t="e">
        <f t="shared" si="110"/>
        <v>#NUM!</v>
      </c>
      <c r="AN103" s="51" t="e">
        <f t="shared" si="132"/>
        <v>#NUM!</v>
      </c>
      <c r="AO103" s="51" t="e">
        <f t="shared" si="133"/>
        <v>#NUM!</v>
      </c>
      <c r="AP103" s="60" t="e">
        <f t="shared" si="134"/>
        <v>#NUM!</v>
      </c>
      <c r="AQ103" s="51" t="e">
        <f t="shared" si="135"/>
        <v>#NUM!</v>
      </c>
      <c r="AR103" s="63" t="e">
        <f t="shared" si="136"/>
        <v>#NUM!</v>
      </c>
      <c r="AS103" s="32" t="str">
        <f t="shared" si="111"/>
        <v>-0.000170731707317073</v>
      </c>
      <c r="AT103" s="32" t="str">
        <f t="shared" si="112"/>
        <v>0.0000169029872927442i</v>
      </c>
      <c r="AU103" s="32">
        <f t="shared" si="137"/>
        <v>1.69029872927442E-5</v>
      </c>
      <c r="AV103" s="32">
        <f t="shared" si="138"/>
        <v>1.5707963267948966</v>
      </c>
      <c r="AW103" s="32" t="str">
        <f t="shared" si="113"/>
        <v>1+0.00359879114493162i</v>
      </c>
      <c r="AX103" s="32">
        <f t="shared" si="139"/>
        <v>1.0000064756278855</v>
      </c>
      <c r="AY103" s="32">
        <f t="shared" si="140"/>
        <v>3.59877560871385E-3</v>
      </c>
      <c r="AZ103" s="32" t="str">
        <f t="shared" si="114"/>
        <v>1+0.0683770317537009i</v>
      </c>
      <c r="BA103" s="32">
        <f t="shared" si="141"/>
        <v>1.0023349831625386</v>
      </c>
      <c r="BB103" s="32">
        <f t="shared" si="142"/>
        <v>6.8270765951290349E-2</v>
      </c>
      <c r="BC103" s="60" t="str">
        <f t="shared" si="143"/>
        <v>-0.654295964907433+10.1030371373436i</v>
      </c>
      <c r="BD103" s="51">
        <f t="shared" si="144"/>
        <v>20.107215884465184</v>
      </c>
      <c r="BE103" s="63">
        <f t="shared" si="145"/>
        <v>93.705432099340456</v>
      </c>
      <c r="BF103" s="60" t="str">
        <f t="shared" si="146"/>
        <v>38.926530305484+226.178793552796i</v>
      </c>
      <c r="BG103" s="66">
        <f t="shared" si="147"/>
        <v>47.215808102904695</v>
      </c>
      <c r="BH103" s="63">
        <f t="shared" si="148"/>
        <v>80.234768497913691</v>
      </c>
      <c r="BI103" s="60" t="e">
        <f t="shared" si="101"/>
        <v>#NUM!</v>
      </c>
      <c r="BJ103" s="66" t="e">
        <f t="shared" si="149"/>
        <v>#NUM!</v>
      </c>
      <c r="BK103" s="63" t="e">
        <f t="shared" si="102"/>
        <v>#NUM!</v>
      </c>
      <c r="BL103" s="51">
        <f t="shared" si="150"/>
        <v>47.215808102904695</v>
      </c>
      <c r="BM103" s="63">
        <f t="shared" si="151"/>
        <v>80.234768497913691</v>
      </c>
    </row>
    <row r="104" spans="14:65" x14ac:dyDescent="0.3">
      <c r="N104" s="11">
        <v>86</v>
      </c>
      <c r="O104" s="52">
        <f t="shared" si="115"/>
        <v>72.443596007499011</v>
      </c>
      <c r="P104" s="50" t="str">
        <f t="shared" si="103"/>
        <v>23.3035714285714</v>
      </c>
      <c r="Q104" s="18" t="str">
        <f t="shared" si="104"/>
        <v>1+0.243844573946555i</v>
      </c>
      <c r="R104" s="18">
        <f t="shared" si="116"/>
        <v>1.0293008191210076</v>
      </c>
      <c r="S104" s="18">
        <f t="shared" si="117"/>
        <v>0.23917698318010633</v>
      </c>
      <c r="T104" s="18" t="str">
        <f t="shared" si="105"/>
        <v>1+0.000455176538033571i</v>
      </c>
      <c r="U104" s="18">
        <f t="shared" si="118"/>
        <v>1.000000103592835</v>
      </c>
      <c r="V104" s="18">
        <f t="shared" si="119"/>
        <v>4.5517650659822128E-4</v>
      </c>
      <c r="W104" s="32" t="str">
        <f t="shared" si="106"/>
        <v>1-0.00111265375963762i</v>
      </c>
      <c r="X104" s="18">
        <f t="shared" si="120"/>
        <v>1.0000006189990029</v>
      </c>
      <c r="Y104" s="18">
        <f t="shared" si="121"/>
        <v>-1.1126533004834406E-3</v>
      </c>
      <c r="Z104" s="32" t="str">
        <f t="shared" si="107"/>
        <v>0.999999979007702+0.000546086672092326i</v>
      </c>
      <c r="AA104" s="18">
        <f t="shared" si="122"/>
        <v>1.0000001281130206</v>
      </c>
      <c r="AB104" s="18">
        <f t="shared" si="123"/>
        <v>5.4608662927299232E-4</v>
      </c>
      <c r="AC104" s="68" t="str">
        <f t="shared" si="124"/>
        <v>21.9892448393503-5.39000537536038i</v>
      </c>
      <c r="AD104" s="66">
        <f t="shared" si="125"/>
        <v>27.097608489158453</v>
      </c>
      <c r="AE104" s="63">
        <f t="shared" si="126"/>
        <v>-13.772790797414848</v>
      </c>
      <c r="AF104" s="51" t="e">
        <f t="shared" si="127"/>
        <v>#NUM!</v>
      </c>
      <c r="AG104" s="51" t="str">
        <f t="shared" si="108"/>
        <v>1-0.341382403525179i</v>
      </c>
      <c r="AH104" s="51">
        <f t="shared" si="128"/>
        <v>1.0566654841701928</v>
      </c>
      <c r="AI104" s="51">
        <f t="shared" si="129"/>
        <v>-0.32897714127203714</v>
      </c>
      <c r="AJ104" s="51" t="str">
        <f t="shared" si="109"/>
        <v>1+0.000455176538033571i</v>
      </c>
      <c r="AK104" s="51">
        <f t="shared" si="130"/>
        <v>1.000000103592835</v>
      </c>
      <c r="AL104" s="51">
        <f t="shared" si="131"/>
        <v>4.5517650659822128E-4</v>
      </c>
      <c r="AM104" s="51" t="e">
        <f t="shared" si="110"/>
        <v>#NUM!</v>
      </c>
      <c r="AN104" s="51" t="e">
        <f t="shared" si="132"/>
        <v>#NUM!</v>
      </c>
      <c r="AO104" s="51" t="e">
        <f t="shared" si="133"/>
        <v>#NUM!</v>
      </c>
      <c r="AP104" s="60" t="e">
        <f t="shared" si="134"/>
        <v>#NUM!</v>
      </c>
      <c r="AQ104" s="51" t="e">
        <f t="shared" si="135"/>
        <v>#NUM!</v>
      </c>
      <c r="AR104" s="63" t="e">
        <f t="shared" si="136"/>
        <v>#NUM!</v>
      </c>
      <c r="AS104" s="32" t="str">
        <f t="shared" si="111"/>
        <v>-0.000170731707317073</v>
      </c>
      <c r="AT104" s="32" t="str">
        <f t="shared" si="112"/>
        <v>0.0000172967084452757i</v>
      </c>
      <c r="AU104" s="32">
        <f t="shared" si="137"/>
        <v>1.7296708445275702E-5</v>
      </c>
      <c r="AV104" s="32">
        <f t="shared" si="138"/>
        <v>1.5707963267948966</v>
      </c>
      <c r="AW104" s="32" t="str">
        <f t="shared" si="113"/>
        <v>1+0.00368261775929055i</v>
      </c>
      <c r="AX104" s="32">
        <f t="shared" si="139"/>
        <v>1.0000067808137909</v>
      </c>
      <c r="AY104" s="32">
        <f t="shared" si="140"/>
        <v>3.6826011119393755E-3</v>
      </c>
      <c r="AZ104" s="32" t="str">
        <f t="shared" si="114"/>
        <v>1+0.0699697374265206i</v>
      </c>
      <c r="BA104" s="32">
        <f t="shared" si="141"/>
        <v>1.0024448933260801</v>
      </c>
      <c r="BB104" s="32">
        <f t="shared" si="142"/>
        <v>6.9855886561236757E-2</v>
      </c>
      <c r="BC104" s="60" t="str">
        <f t="shared" si="143"/>
        <v>-0.654295565546392+9.87317238019183i</v>
      </c>
      <c r="BD104" s="51">
        <f t="shared" si="144"/>
        <v>19.908165625066676</v>
      </c>
      <c r="BE104" s="63">
        <f t="shared" si="145"/>
        <v>93.791449972759196</v>
      </c>
      <c r="BF104" s="60" t="str">
        <f t="shared" si="146"/>
        <v>38.8289868129928+220.630261424519i</v>
      </c>
      <c r="BG104" s="66">
        <f t="shared" si="147"/>
        <v>47.005774114225147</v>
      </c>
      <c r="BH104" s="63">
        <f t="shared" si="148"/>
        <v>80.018659175344382</v>
      </c>
      <c r="BI104" s="60" t="e">
        <f t="shared" si="101"/>
        <v>#NUM!</v>
      </c>
      <c r="BJ104" s="66" t="e">
        <f t="shared" si="149"/>
        <v>#NUM!</v>
      </c>
      <c r="BK104" s="63" t="e">
        <f t="shared" si="102"/>
        <v>#NUM!</v>
      </c>
      <c r="BL104" s="51">
        <f t="shared" si="150"/>
        <v>47.005774114225147</v>
      </c>
      <c r="BM104" s="63">
        <f t="shared" si="151"/>
        <v>80.018659175344382</v>
      </c>
    </row>
    <row r="105" spans="14:65" x14ac:dyDescent="0.3">
      <c r="N105" s="11">
        <v>87</v>
      </c>
      <c r="O105" s="52">
        <f t="shared" si="115"/>
        <v>74.131024130091816</v>
      </c>
      <c r="P105" s="50" t="str">
        <f t="shared" si="103"/>
        <v>23.3035714285714</v>
      </c>
      <c r="Q105" s="18" t="str">
        <f t="shared" si="104"/>
        <v>1+0.249524443725197i</v>
      </c>
      <c r="R105" s="18">
        <f t="shared" si="116"/>
        <v>1.0306611703253252</v>
      </c>
      <c r="S105" s="18">
        <f t="shared" si="117"/>
        <v>0.24453103069237653</v>
      </c>
      <c r="T105" s="18" t="str">
        <f t="shared" si="105"/>
        <v>1+0.000465778961620368i</v>
      </c>
      <c r="U105" s="18">
        <f t="shared" si="118"/>
        <v>1.0000001084750147</v>
      </c>
      <c r="V105" s="18">
        <f t="shared" si="119"/>
        <v>4.6577892793678408E-4</v>
      </c>
      <c r="W105" s="32" t="str">
        <f t="shared" si="106"/>
        <v>1-0.00113857079507201i</v>
      </c>
      <c r="X105" s="18">
        <f t="shared" si="120"/>
        <v>1.0000006481715176</v>
      </c>
      <c r="Y105" s="18">
        <f t="shared" si="121"/>
        <v>-1.1385703030794597E-3</v>
      </c>
      <c r="Z105" s="32" t="str">
        <f t="shared" si="107"/>
        <v>0.999999978018365+0.000558806664729996i</v>
      </c>
      <c r="AA105" s="18">
        <f t="shared" si="122"/>
        <v>1.0000001341508007</v>
      </c>
      <c r="AB105" s="18">
        <f t="shared" si="123"/>
        <v>5.588066188482538E-4</v>
      </c>
      <c r="AC105" s="68" t="str">
        <f t="shared" si="124"/>
        <v>21.9309331632504-5.50100454036912i</v>
      </c>
      <c r="AD105" s="66">
        <f t="shared" si="125"/>
        <v>27.086136810010725</v>
      </c>
      <c r="AE105" s="63">
        <f t="shared" si="126"/>
        <v>-14.081161385769629</v>
      </c>
      <c r="AF105" s="51" t="e">
        <f t="shared" si="127"/>
        <v>#NUM!</v>
      </c>
      <c r="AG105" s="51" t="str">
        <f t="shared" si="108"/>
        <v>1-0.349334221215277i</v>
      </c>
      <c r="AH105" s="51">
        <f t="shared" si="128"/>
        <v>1.0592612511142301</v>
      </c>
      <c r="AI105" s="51">
        <f t="shared" si="129"/>
        <v>-0.33608157489142371</v>
      </c>
      <c r="AJ105" s="51" t="str">
        <f t="shared" si="109"/>
        <v>1+0.000465778961620368i</v>
      </c>
      <c r="AK105" s="51">
        <f t="shared" si="130"/>
        <v>1.0000001084750147</v>
      </c>
      <c r="AL105" s="51">
        <f t="shared" si="131"/>
        <v>4.6577892793678408E-4</v>
      </c>
      <c r="AM105" s="51" t="e">
        <f t="shared" si="110"/>
        <v>#NUM!</v>
      </c>
      <c r="AN105" s="51" t="e">
        <f t="shared" si="132"/>
        <v>#NUM!</v>
      </c>
      <c r="AO105" s="51" t="e">
        <f t="shared" si="133"/>
        <v>#NUM!</v>
      </c>
      <c r="AP105" s="60" t="e">
        <f t="shared" si="134"/>
        <v>#NUM!</v>
      </c>
      <c r="AQ105" s="51" t="e">
        <f t="shared" si="135"/>
        <v>#NUM!</v>
      </c>
      <c r="AR105" s="63" t="e">
        <f t="shared" si="136"/>
        <v>#NUM!</v>
      </c>
      <c r="AS105" s="32" t="str">
        <f t="shared" si="111"/>
        <v>-0.000170731707317073</v>
      </c>
      <c r="AT105" s="32" t="str">
        <f t="shared" si="112"/>
        <v>0.000017699600541574i</v>
      </c>
      <c r="AU105" s="32">
        <f t="shared" si="137"/>
        <v>1.7699600541574E-5</v>
      </c>
      <c r="AV105" s="32">
        <f t="shared" si="138"/>
        <v>1.5707963267948966</v>
      </c>
      <c r="AW105" s="32" t="str">
        <f t="shared" si="113"/>
        <v>1+0.00376839694633068i</v>
      </c>
      <c r="AX105" s="32">
        <f t="shared" si="139"/>
        <v>1.0000071003825648</v>
      </c>
      <c r="AY105" s="32">
        <f t="shared" si="140"/>
        <v>3.7683791083793559E-3</v>
      </c>
      <c r="AZ105" s="32" t="str">
        <f t="shared" si="114"/>
        <v>1+0.071599541980283i</v>
      </c>
      <c r="BA105" s="32">
        <f t="shared" si="141"/>
        <v>1.0025599704814603</v>
      </c>
      <c r="BB105" s="32">
        <f t="shared" si="142"/>
        <v>7.1477565397785409E-2</v>
      </c>
      <c r="BC105" s="60" t="str">
        <f t="shared" si="143"/>
        <v>-0.654295147364564+9.64854250958419i</v>
      </c>
      <c r="BD105" s="51">
        <f t="shared" si="144"/>
        <v>19.709159901763641</v>
      </c>
      <c r="BE105" s="63">
        <f t="shared" si="145"/>
        <v>93.879450608648028</v>
      </c>
      <c r="BF105" s="60" t="str">
        <f t="shared" si="146"/>
        <v>38.7273730072758+215.200821476865i</v>
      </c>
      <c r="BG105" s="66">
        <f t="shared" si="147"/>
        <v>46.79529671177437</v>
      </c>
      <c r="BH105" s="63">
        <f t="shared" si="148"/>
        <v>79.798289222878381</v>
      </c>
      <c r="BI105" s="60" t="e">
        <f t="shared" si="101"/>
        <v>#NUM!</v>
      </c>
      <c r="BJ105" s="66" t="e">
        <f t="shared" si="149"/>
        <v>#NUM!</v>
      </c>
      <c r="BK105" s="63" t="e">
        <f t="shared" si="102"/>
        <v>#NUM!</v>
      </c>
      <c r="BL105" s="51">
        <f t="shared" si="150"/>
        <v>46.79529671177437</v>
      </c>
      <c r="BM105" s="63">
        <f t="shared" si="151"/>
        <v>79.798289222878381</v>
      </c>
    </row>
    <row r="106" spans="14:65" x14ac:dyDescent="0.3">
      <c r="N106" s="11">
        <v>88</v>
      </c>
      <c r="O106" s="52">
        <f t="shared" si="115"/>
        <v>75.857757502918361</v>
      </c>
      <c r="P106" s="50" t="str">
        <f t="shared" si="103"/>
        <v>23.3035714285714</v>
      </c>
      <c r="Q106" s="18" t="str">
        <f t="shared" si="104"/>
        <v>1+0.255336614666747i</v>
      </c>
      <c r="R106" s="18">
        <f t="shared" si="116"/>
        <v>1.0320837111346517</v>
      </c>
      <c r="S106" s="18">
        <f t="shared" si="117"/>
        <v>0.2499950182467644</v>
      </c>
      <c r="T106" s="18" t="str">
        <f t="shared" si="105"/>
        <v>1+0.000476628347377929i</v>
      </c>
      <c r="U106" s="18">
        <f t="shared" si="118"/>
        <v>1.0000001135872842</v>
      </c>
      <c r="V106" s="18">
        <f t="shared" si="119"/>
        <v>4.766283112853188E-4</v>
      </c>
      <c r="W106" s="32" t="str">
        <f t="shared" si="106"/>
        <v>1-0.00116509151581272i</v>
      </c>
      <c r="X106" s="18">
        <f t="shared" si="120"/>
        <v>1.0000006787188898</v>
      </c>
      <c r="Y106" s="18">
        <f t="shared" si="121"/>
        <v>-1.1650909886332238E-3</v>
      </c>
      <c r="Z106" s="32" t="str">
        <f t="shared" si="107"/>
        <v>0.999999976982403+0.000571822944057986i</v>
      </c>
      <c r="AA106" s="18">
        <f t="shared" si="122"/>
        <v>1.0000001404731331</v>
      </c>
      <c r="AB106" s="18">
        <f t="shared" si="123"/>
        <v>5.7182289489481357E-4</v>
      </c>
      <c r="AC106" s="68" t="str">
        <f t="shared" si="124"/>
        <v>21.8702021798003-5.61363255288986i</v>
      </c>
      <c r="AD106" s="66">
        <f t="shared" si="125"/>
        <v>27.074156878095224</v>
      </c>
      <c r="AE106" s="63">
        <f t="shared" si="126"/>
        <v>-14.395868489106352</v>
      </c>
      <c r="AF106" s="51" t="e">
        <f t="shared" si="127"/>
        <v>#NUM!</v>
      </c>
      <c r="AG106" s="51" t="str">
        <f t="shared" si="108"/>
        <v>1-0.357471260533448i</v>
      </c>
      <c r="AH106" s="51">
        <f t="shared" si="128"/>
        <v>1.0619725524265551</v>
      </c>
      <c r="AI106" s="51">
        <f t="shared" si="129"/>
        <v>-0.3433151638054267</v>
      </c>
      <c r="AJ106" s="51" t="str">
        <f t="shared" si="109"/>
        <v>1+0.000476628347377929i</v>
      </c>
      <c r="AK106" s="51">
        <f t="shared" si="130"/>
        <v>1.0000001135872842</v>
      </c>
      <c r="AL106" s="51">
        <f t="shared" si="131"/>
        <v>4.766283112853188E-4</v>
      </c>
      <c r="AM106" s="51" t="e">
        <f t="shared" si="110"/>
        <v>#NUM!</v>
      </c>
      <c r="AN106" s="51" t="e">
        <f t="shared" si="132"/>
        <v>#NUM!</v>
      </c>
      <c r="AO106" s="51" t="e">
        <f t="shared" si="133"/>
        <v>#NUM!</v>
      </c>
      <c r="AP106" s="60" t="e">
        <f t="shared" si="134"/>
        <v>#NUM!</v>
      </c>
      <c r="AQ106" s="51" t="e">
        <f t="shared" si="135"/>
        <v>#NUM!</v>
      </c>
      <c r="AR106" s="63" t="e">
        <f t="shared" si="136"/>
        <v>#NUM!</v>
      </c>
      <c r="AS106" s="32" t="str">
        <f t="shared" si="111"/>
        <v>-0.000170731707317073</v>
      </c>
      <c r="AT106" s="32" t="str">
        <f t="shared" si="112"/>
        <v>0.0000181118772003613i</v>
      </c>
      <c r="AU106" s="32">
        <f t="shared" si="137"/>
        <v>1.8111877200361299E-5</v>
      </c>
      <c r="AV106" s="32">
        <f t="shared" si="138"/>
        <v>1.5707963267948966</v>
      </c>
      <c r="AW106" s="32" t="str">
        <f t="shared" si="113"/>
        <v>1+0.00385617418731238i</v>
      </c>
      <c r="AX106" s="32">
        <f t="shared" si="139"/>
        <v>1.0000074350120418</v>
      </c>
      <c r="AY106" s="32">
        <f t="shared" si="140"/>
        <v>3.8561550736108457E-3</v>
      </c>
      <c r="AZ106" s="32" t="str">
        <f t="shared" si="114"/>
        <v>1+0.0732673095589353i</v>
      </c>
      <c r="BA106" s="32">
        <f t="shared" si="141"/>
        <v>1.0026804569004051</v>
      </c>
      <c r="BB106" s="32">
        <f t="shared" si="142"/>
        <v>7.3136628159292644E-2</v>
      </c>
      <c r="BC106" s="60" t="str">
        <f t="shared" si="143"/>
        <v>-0.654294709475008+9.42902842378013i</v>
      </c>
      <c r="BD106" s="51">
        <f t="shared" si="144"/>
        <v>19.510200791998578</v>
      </c>
      <c r="BE106" s="63">
        <f t="shared" si="145"/>
        <v>93.969478710479251</v>
      </c>
      <c r="BF106" s="60" t="str">
        <f t="shared" si="146"/>
        <v>38.6215433204638+209.887728067448i</v>
      </c>
      <c r="BG106" s="66">
        <f t="shared" si="147"/>
        <v>46.584357670093809</v>
      </c>
      <c r="BH106" s="63">
        <f t="shared" si="148"/>
        <v>79.573610221372917</v>
      </c>
      <c r="BI106" s="60" t="e">
        <f t="shared" si="101"/>
        <v>#NUM!</v>
      </c>
      <c r="BJ106" s="66" t="e">
        <f t="shared" si="149"/>
        <v>#NUM!</v>
      </c>
      <c r="BK106" s="63" t="e">
        <f t="shared" si="102"/>
        <v>#NUM!</v>
      </c>
      <c r="BL106" s="51">
        <f t="shared" si="150"/>
        <v>46.584357670093809</v>
      </c>
      <c r="BM106" s="63">
        <f t="shared" si="151"/>
        <v>79.573610221372917</v>
      </c>
    </row>
    <row r="107" spans="14:65" x14ac:dyDescent="0.3">
      <c r="N107" s="11">
        <v>89</v>
      </c>
      <c r="O107" s="52">
        <f t="shared" si="115"/>
        <v>77.624711662869217</v>
      </c>
      <c r="P107" s="50" t="str">
        <f t="shared" si="103"/>
        <v>23.3035714285714</v>
      </c>
      <c r="Q107" s="18" t="str">
        <f t="shared" si="104"/>
        <v>1+0.261284168461174i</v>
      </c>
      <c r="R107" s="18">
        <f t="shared" si="116"/>
        <v>1.0335711957521103</v>
      </c>
      <c r="S107" s="18">
        <f t="shared" si="117"/>
        <v>0.25557053734123603</v>
      </c>
      <c r="T107" s="18" t="str">
        <f t="shared" si="105"/>
        <v>1+0.000487730447794192i</v>
      </c>
      <c r="U107" s="18">
        <f t="shared" si="118"/>
        <v>1.0000001189404879</v>
      </c>
      <c r="V107" s="18">
        <f t="shared" si="119"/>
        <v>4.8773040912026362E-4</v>
      </c>
      <c r="W107" s="32" t="str">
        <f t="shared" si="106"/>
        <v>1-0.00119222998349691i</v>
      </c>
      <c r="X107" s="18">
        <f t="shared" si="120"/>
        <v>1.0000007107059143</v>
      </c>
      <c r="Y107" s="18">
        <f t="shared" si="121"/>
        <v>-1.1922294186139241E-3</v>
      </c>
      <c r="Z107" s="32" t="str">
        <f t="shared" si="107"/>
        <v>0.999999975897617+0.000585142411479887i</v>
      </c>
      <c r="AA107" s="18">
        <f t="shared" si="122"/>
        <v>1.0000001470934272</v>
      </c>
      <c r="AB107" s="18">
        <f t="shared" si="123"/>
        <v>5.8514235880059912E-4</v>
      </c>
      <c r="AC107" s="68" t="str">
        <f t="shared" si="124"/>
        <v>21.8069666228849-5.72786840264664i</v>
      </c>
      <c r="AD107" s="66">
        <f t="shared" si="125"/>
        <v>27.061647669682309</v>
      </c>
      <c r="AE107" s="63">
        <f t="shared" si="126"/>
        <v>-14.717004165032177</v>
      </c>
      <c r="AF107" s="51" t="e">
        <f t="shared" si="127"/>
        <v>#NUM!</v>
      </c>
      <c r="AG107" s="51" t="str">
        <f t="shared" si="108"/>
        <v>1-0.365797835845645i</v>
      </c>
      <c r="AH107" s="51">
        <f t="shared" si="128"/>
        <v>1.0648042339835795</v>
      </c>
      <c r="AI107" s="51">
        <f t="shared" si="129"/>
        <v>-0.35067871444251703</v>
      </c>
      <c r="AJ107" s="51" t="str">
        <f t="shared" si="109"/>
        <v>1+0.000487730447794192i</v>
      </c>
      <c r="AK107" s="51">
        <f t="shared" si="130"/>
        <v>1.0000001189404879</v>
      </c>
      <c r="AL107" s="51">
        <f t="shared" si="131"/>
        <v>4.8773040912026362E-4</v>
      </c>
      <c r="AM107" s="51" t="e">
        <f t="shared" si="110"/>
        <v>#NUM!</v>
      </c>
      <c r="AN107" s="51" t="e">
        <f t="shared" si="132"/>
        <v>#NUM!</v>
      </c>
      <c r="AO107" s="51" t="e">
        <f t="shared" si="133"/>
        <v>#NUM!</v>
      </c>
      <c r="AP107" s="60" t="e">
        <f t="shared" si="134"/>
        <v>#NUM!</v>
      </c>
      <c r="AQ107" s="51" t="e">
        <f t="shared" si="135"/>
        <v>#NUM!</v>
      </c>
      <c r="AR107" s="63" t="e">
        <f t="shared" si="136"/>
        <v>#NUM!</v>
      </c>
      <c r="AS107" s="32" t="str">
        <f t="shared" si="111"/>
        <v>-0.000170731707317073</v>
      </c>
      <c r="AT107" s="32" t="str">
        <f t="shared" si="112"/>
        <v>0.0000185337570161793i</v>
      </c>
      <c r="AU107" s="32">
        <f t="shared" si="137"/>
        <v>1.8533757016179299E-5</v>
      </c>
      <c r="AV107" s="32">
        <f t="shared" si="138"/>
        <v>1.5707963267948966</v>
      </c>
      <c r="AW107" s="32" t="str">
        <f t="shared" si="113"/>
        <v>1+0.00394599602289069i</v>
      </c>
      <c r="AX107" s="32">
        <f t="shared" si="139"/>
        <v>1.000007785412</v>
      </c>
      <c r="AY107" s="32">
        <f t="shared" si="140"/>
        <v>3.9459755421991129E-3</v>
      </c>
      <c r="AZ107" s="32" t="str">
        <f t="shared" si="114"/>
        <v>1+0.0749739244349232i</v>
      </c>
      <c r="BA107" s="32">
        <f t="shared" si="141"/>
        <v>1.0028066061535363</v>
      </c>
      <c r="BB107" s="32">
        <f t="shared" si="142"/>
        <v>7.4833917949890846E-2</v>
      </c>
      <c r="BC107" s="60" t="str">
        <f t="shared" si="143"/>
        <v>-0.654294250948979+9.21451373349509i</v>
      </c>
      <c r="BD107" s="51">
        <f t="shared" si="144"/>
        <v>19.311290469065071</v>
      </c>
      <c r="BE107" s="63">
        <f t="shared" si="145"/>
        <v>94.061579918327169</v>
      </c>
      <c r="BF107" s="60" t="str">
        <f t="shared" si="146"/>
        <v>38.5113491678502+204.688304798486i</v>
      </c>
      <c r="BG107" s="66">
        <f t="shared" si="147"/>
        <v>46.372938138747386</v>
      </c>
      <c r="BH107" s="63">
        <f t="shared" si="148"/>
        <v>79.344575753295018</v>
      </c>
      <c r="BI107" s="60" t="e">
        <f t="shared" si="101"/>
        <v>#NUM!</v>
      </c>
      <c r="BJ107" s="66" t="e">
        <f t="shared" si="149"/>
        <v>#NUM!</v>
      </c>
      <c r="BK107" s="63" t="e">
        <f t="shared" si="102"/>
        <v>#NUM!</v>
      </c>
      <c r="BL107" s="51">
        <f t="shared" si="150"/>
        <v>46.372938138747386</v>
      </c>
      <c r="BM107" s="63">
        <f t="shared" si="151"/>
        <v>79.344575753295018</v>
      </c>
    </row>
    <row r="108" spans="14:65" x14ac:dyDescent="0.3">
      <c r="N108" s="11">
        <v>90</v>
      </c>
      <c r="O108" s="52">
        <f t="shared" si="115"/>
        <v>79.432823472428197</v>
      </c>
      <c r="P108" s="50" t="str">
        <f t="shared" si="103"/>
        <v>23.3035714285714</v>
      </c>
      <c r="Q108" s="18" t="str">
        <f t="shared" si="104"/>
        <v>1+0.267370258580223i</v>
      </c>
      <c r="R108" s="18">
        <f t="shared" si="116"/>
        <v>1.0351264923540771</v>
      </c>
      <c r="S108" s="18">
        <f t="shared" si="117"/>
        <v>0.26125915702578184</v>
      </c>
      <c r="T108" s="18" t="str">
        <f t="shared" si="105"/>
        <v>1+0.000499091149349751i</v>
      </c>
      <c r="U108" s="18">
        <f t="shared" si="118"/>
        <v>1.00000012454598</v>
      </c>
      <c r="V108" s="18">
        <f t="shared" si="119"/>
        <v>4.9909110790989045E-4</v>
      </c>
      <c r="W108" s="32" t="str">
        <f t="shared" si="106"/>
        <v>1-0.00122000058729939i</v>
      </c>
      <c r="X108" s="18">
        <f t="shared" si="120"/>
        <v>1.0000007442004395</v>
      </c>
      <c r="Y108" s="18">
        <f t="shared" si="121"/>
        <v>-1.2199999820163899E-3</v>
      </c>
      <c r="Z108" s="32" t="str">
        <f t="shared" si="107"/>
        <v>0.999999974761706+0.00059877212915363i</v>
      </c>
      <c r="AA108" s="18">
        <f t="shared" si="122"/>
        <v>1.0000001540257257</v>
      </c>
      <c r="AB108" s="18">
        <f t="shared" si="123"/>
        <v>5.9877207270675687E-4</v>
      </c>
      <c r="AC108" s="68" t="str">
        <f t="shared" si="124"/>
        <v>21.741139579706-5.84368740351526i</v>
      </c>
      <c r="AD108" s="66">
        <f t="shared" si="125"/>
        <v>27.048587425781207</v>
      </c>
      <c r="AE108" s="63">
        <f t="shared" si="126"/>
        <v>-15.044659205279165</v>
      </c>
      <c r="AF108" s="51" t="e">
        <f t="shared" si="127"/>
        <v>#NUM!</v>
      </c>
      <c r="AG108" s="51" t="str">
        <f t="shared" si="108"/>
        <v>1-0.374318362012314i</v>
      </c>
      <c r="AH108" s="51">
        <f t="shared" si="128"/>
        <v>1.0677613198367797</v>
      </c>
      <c r="AI108" s="51">
        <f t="shared" si="129"/>
        <v>-0.35817293596182898</v>
      </c>
      <c r="AJ108" s="51" t="str">
        <f t="shared" si="109"/>
        <v>1+0.000499091149349751i</v>
      </c>
      <c r="AK108" s="51">
        <f t="shared" si="130"/>
        <v>1.00000012454598</v>
      </c>
      <c r="AL108" s="51">
        <f t="shared" si="131"/>
        <v>4.9909110790989045E-4</v>
      </c>
      <c r="AM108" s="51" t="e">
        <f t="shared" si="110"/>
        <v>#NUM!</v>
      </c>
      <c r="AN108" s="51" t="e">
        <f t="shared" si="132"/>
        <v>#NUM!</v>
      </c>
      <c r="AO108" s="51" t="e">
        <f t="shared" si="133"/>
        <v>#NUM!</v>
      </c>
      <c r="AP108" s="60" t="e">
        <f t="shared" si="134"/>
        <v>#NUM!</v>
      </c>
      <c r="AQ108" s="51" t="e">
        <f t="shared" si="135"/>
        <v>#NUM!</v>
      </c>
      <c r="AR108" s="63" t="e">
        <f t="shared" si="136"/>
        <v>#NUM!</v>
      </c>
      <c r="AS108" s="32" t="str">
        <f t="shared" si="111"/>
        <v>-0.000170731707317073</v>
      </c>
      <c r="AT108" s="32" t="str">
        <f t="shared" si="112"/>
        <v>0.0000189654636752905i</v>
      </c>
      <c r="AU108" s="32">
        <f t="shared" si="137"/>
        <v>1.8965463675290501E-5</v>
      </c>
      <c r="AV108" s="32">
        <f t="shared" si="138"/>
        <v>1.5707963267948966</v>
      </c>
      <c r="AW108" s="32" t="str">
        <f t="shared" si="113"/>
        <v>1+0.00403791007779177i</v>
      </c>
      <c r="AX108" s="32">
        <f t="shared" si="139"/>
        <v>1.0000081523256679</v>
      </c>
      <c r="AY108" s="32">
        <f t="shared" si="140"/>
        <v>4.0378881323450229E-3</v>
      </c>
      <c r="AZ108" s="32" t="str">
        <f t="shared" si="114"/>
        <v>1+0.0767202914780438i</v>
      </c>
      <c r="BA108" s="32">
        <f t="shared" si="141"/>
        <v>1.0029386836314951</v>
      </c>
      <c r="BB108" s="32">
        <f t="shared" si="142"/>
        <v>7.6570295556865522E-2</v>
      </c>
      <c r="BC108" s="60" t="str">
        <f t="shared" si="143"/>
        <v>-0.654293770813976+9.0048847001895i</v>
      </c>
      <c r="BD108" s="51">
        <f t="shared" si="144"/>
        <v>19.112431206429413</v>
      </c>
      <c r="BE108" s="63">
        <f t="shared" si="145"/>
        <v>94.155800823348372</v>
      </c>
      <c r="BF108" s="60" t="str">
        <f t="shared" si="146"/>
        <v>38.3966390952058+199.599943432683i</v>
      </c>
      <c r="BG108" s="66">
        <f t="shared" si="147"/>
        <v>46.161018632210613</v>
      </c>
      <c r="BH108" s="63">
        <f t="shared" si="148"/>
        <v>79.111141618069226</v>
      </c>
      <c r="BI108" s="60" t="e">
        <f t="shared" si="101"/>
        <v>#NUM!</v>
      </c>
      <c r="BJ108" s="66" t="e">
        <f t="shared" si="149"/>
        <v>#NUM!</v>
      </c>
      <c r="BK108" s="63" t="e">
        <f t="shared" si="102"/>
        <v>#NUM!</v>
      </c>
      <c r="BL108" s="51">
        <f t="shared" si="150"/>
        <v>46.161018632210613</v>
      </c>
      <c r="BM108" s="63">
        <f t="shared" si="151"/>
        <v>79.111141618069226</v>
      </c>
    </row>
    <row r="109" spans="14:65" x14ac:dyDescent="0.3">
      <c r="N109" s="11">
        <v>91</v>
      </c>
      <c r="O109" s="52">
        <f t="shared" si="115"/>
        <v>81.283051616409963</v>
      </c>
      <c r="P109" s="50" t="str">
        <f t="shared" si="103"/>
        <v>23.3035714285714</v>
      </c>
      <c r="Q109" s="18" t="str">
        <f t="shared" si="104"/>
        <v>1+0.273598111949435i</v>
      </c>
      <c r="R109" s="18">
        <f t="shared" si="116"/>
        <v>1.0367525871018097</v>
      </c>
      <c r="S109" s="18">
        <f t="shared" si="117"/>
        <v>0.26706242018646881</v>
      </c>
      <c r="T109" s="18" t="str">
        <f t="shared" si="105"/>
        <v>1+0.000510716475638947i</v>
      </c>
      <c r="U109" s="18">
        <f t="shared" si="118"/>
        <v>1.0000001304156507</v>
      </c>
      <c r="V109" s="18">
        <f t="shared" si="119"/>
        <v>5.1071643123533675E-4</v>
      </c>
      <c r="W109" s="32" t="str">
        <f t="shared" si="106"/>
        <v>1-0.00124841805156187i</v>
      </c>
      <c r="X109" s="18">
        <f t="shared" si="120"/>
        <v>1.0000007792735122</v>
      </c>
      <c r="Y109" s="18">
        <f t="shared" si="121"/>
        <v>-1.2484174029894774E-3</v>
      </c>
      <c r="Z109" s="32" t="str">
        <f t="shared" si="107"/>
        <v>0.999999973572262+0.000612719323735936i</v>
      </c>
      <c r="AA109" s="18">
        <f t="shared" si="122"/>
        <v>1.0000001612847342</v>
      </c>
      <c r="AB109" s="18">
        <f t="shared" si="123"/>
        <v>6.1271926325202214E-4</v>
      </c>
      <c r="AC109" s="68" t="str">
        <f t="shared" si="124"/>
        <v>21.6726325895069-5.96106098585508i</v>
      </c>
      <c r="AD109" s="66">
        <f t="shared" si="125"/>
        <v>27.034953638489263</v>
      </c>
      <c r="AE109" s="63">
        <f t="shared" si="126"/>
        <v>-15.378922923268977</v>
      </c>
      <c r="AF109" s="51" t="e">
        <f t="shared" si="127"/>
        <v>#NUM!</v>
      </c>
      <c r="AG109" s="51" t="str">
        <f t="shared" si="108"/>
        <v>1-0.383037356729211i</v>
      </c>
      <c r="AH109" s="51">
        <f t="shared" si="128"/>
        <v>1.0708490167386349</v>
      </c>
      <c r="AI109" s="51">
        <f t="shared" si="129"/>
        <v>-0.36579843370543613</v>
      </c>
      <c r="AJ109" s="51" t="str">
        <f t="shared" si="109"/>
        <v>1+0.000510716475638947i</v>
      </c>
      <c r="AK109" s="51">
        <f t="shared" si="130"/>
        <v>1.0000001304156507</v>
      </c>
      <c r="AL109" s="51">
        <f t="shared" si="131"/>
        <v>5.1071643123533675E-4</v>
      </c>
      <c r="AM109" s="51" t="e">
        <f t="shared" si="110"/>
        <v>#NUM!</v>
      </c>
      <c r="AN109" s="51" t="e">
        <f t="shared" si="132"/>
        <v>#NUM!</v>
      </c>
      <c r="AO109" s="51" t="e">
        <f t="shared" si="133"/>
        <v>#NUM!</v>
      </c>
      <c r="AP109" s="60" t="e">
        <f t="shared" si="134"/>
        <v>#NUM!</v>
      </c>
      <c r="AQ109" s="51" t="e">
        <f t="shared" si="135"/>
        <v>#NUM!</v>
      </c>
      <c r="AR109" s="63" t="e">
        <f t="shared" si="136"/>
        <v>#NUM!</v>
      </c>
      <c r="AS109" s="32" t="str">
        <f t="shared" si="111"/>
        <v>-0.000170731707317073</v>
      </c>
      <c r="AT109" s="32" t="str">
        <f t="shared" si="112"/>
        <v>0.00001940722607428i</v>
      </c>
      <c r="AU109" s="32">
        <f t="shared" si="137"/>
        <v>1.9407226074279999E-5</v>
      </c>
      <c r="AV109" s="32">
        <f t="shared" si="138"/>
        <v>1.5707963267948966</v>
      </c>
      <c r="AW109" s="32" t="str">
        <f t="shared" si="113"/>
        <v>1+0.00413196508606415i</v>
      </c>
      <c r="AX109" s="32">
        <f t="shared" si="139"/>
        <v>1.0000085365313001</v>
      </c>
      <c r="AY109" s="32">
        <f t="shared" si="140"/>
        <v>4.1319415711051398E-3</v>
      </c>
      <c r="AZ109" s="32" t="str">
        <f t="shared" si="114"/>
        <v>1+0.078507336635219i</v>
      </c>
      <c r="BA109" s="32">
        <f t="shared" si="141"/>
        <v>1.0030769670895427</v>
      </c>
      <c r="BB109" s="32">
        <f t="shared" si="142"/>
        <v>7.8346639725650397E-2</v>
      </c>
      <c r="BC109" s="60" t="str">
        <f t="shared" si="143"/>
        <v>-0.65429326805166+8.80003017576288i</v>
      </c>
      <c r="BD109" s="51">
        <f t="shared" si="144"/>
        <v>18.913625382236994</v>
      </c>
      <c r="BE109" s="63">
        <f t="shared" si="145"/>
        <v>94.25218898209279</v>
      </c>
      <c r="BF109" s="60" t="str">
        <f t="shared" si="146"/>
        <v>38.2772589508161+194.620102849373i</v>
      </c>
      <c r="BG109" s="66">
        <f t="shared" si="147"/>
        <v>45.948579020726257</v>
      </c>
      <c r="BH109" s="63">
        <f t="shared" si="148"/>
        <v>78.873266058823816</v>
      </c>
      <c r="BI109" s="60" t="e">
        <f t="shared" si="101"/>
        <v>#NUM!</v>
      </c>
      <c r="BJ109" s="66" t="e">
        <f t="shared" si="149"/>
        <v>#NUM!</v>
      </c>
      <c r="BK109" s="63" t="e">
        <f t="shared" si="102"/>
        <v>#NUM!</v>
      </c>
      <c r="BL109" s="51">
        <f t="shared" si="150"/>
        <v>45.948579020726257</v>
      </c>
      <c r="BM109" s="63">
        <f t="shared" si="151"/>
        <v>78.873266058823816</v>
      </c>
    </row>
    <row r="110" spans="14:65" x14ac:dyDescent="0.3">
      <c r="N110" s="11">
        <v>92</v>
      </c>
      <c r="O110" s="52">
        <f t="shared" si="115"/>
        <v>83.176377110267126</v>
      </c>
      <c r="P110" s="50" t="str">
        <f t="shared" si="103"/>
        <v>23.3035714285714</v>
      </c>
      <c r="Q110" s="18" t="str">
        <f t="shared" si="104"/>
        <v>1+0.279971030659103i</v>
      </c>
      <c r="R110" s="18">
        <f t="shared" si="116"/>
        <v>1.0384525882332425</v>
      </c>
      <c r="S110" s="18">
        <f t="shared" si="117"/>
        <v>0.27298183962344025</v>
      </c>
      <c r="T110" s="18" t="str">
        <f t="shared" si="105"/>
        <v>1+0.000522612590563659i</v>
      </c>
      <c r="U110" s="18">
        <f t="shared" si="118"/>
        <v>1.0000001365619506</v>
      </c>
      <c r="V110" s="18">
        <f t="shared" si="119"/>
        <v>5.226125429843337E-4</v>
      </c>
      <c r="W110" s="32" t="str">
        <f t="shared" si="106"/>
        <v>1-0.00127749744360006i</v>
      </c>
      <c r="X110" s="18">
        <f t="shared" si="120"/>
        <v>1.0000008159995264</v>
      </c>
      <c r="Y110" s="18">
        <f t="shared" si="121"/>
        <v>-1.277496748642251E-3</v>
      </c>
      <c r="Z110" s="32" t="str">
        <f t="shared" si="107"/>
        <v>0.999999972326761+0.000626991390213986i</v>
      </c>
      <c r="AA110" s="18">
        <f t="shared" si="122"/>
        <v>1.0000001688858489</v>
      </c>
      <c r="AB110" s="18">
        <f t="shared" si="123"/>
        <v>6.2699132540430542E-4</v>
      </c>
      <c r="AC110" s="68" t="str">
        <f t="shared" si="124"/>
        <v>21.6013557574624-6.0799564851817i</v>
      </c>
      <c r="AD110" s="66">
        <f t="shared" si="125"/>
        <v>27.020723038248569</v>
      </c>
      <c r="AE110" s="63">
        <f t="shared" si="126"/>
        <v>-15.719882929882512</v>
      </c>
      <c r="AF110" s="51" t="e">
        <f t="shared" si="127"/>
        <v>#NUM!</v>
      </c>
      <c r="AG110" s="51" t="str">
        <f t="shared" si="108"/>
        <v>1-0.391959442922745i</v>
      </c>
      <c r="AH110" s="51">
        <f t="shared" si="128"/>
        <v>1.0740727186258427</v>
      </c>
      <c r="AI110" s="51">
        <f t="shared" si="129"/>
        <v>-0.37355570253451686</v>
      </c>
      <c r="AJ110" s="51" t="str">
        <f t="shared" si="109"/>
        <v>1+0.000522612590563659i</v>
      </c>
      <c r="AK110" s="51">
        <f t="shared" si="130"/>
        <v>1.0000001365619506</v>
      </c>
      <c r="AL110" s="51">
        <f t="shared" si="131"/>
        <v>5.226125429843337E-4</v>
      </c>
      <c r="AM110" s="51" t="e">
        <f t="shared" si="110"/>
        <v>#NUM!</v>
      </c>
      <c r="AN110" s="51" t="e">
        <f t="shared" si="132"/>
        <v>#NUM!</v>
      </c>
      <c r="AO110" s="51" t="e">
        <f t="shared" si="133"/>
        <v>#NUM!</v>
      </c>
      <c r="AP110" s="60" t="e">
        <f t="shared" si="134"/>
        <v>#NUM!</v>
      </c>
      <c r="AQ110" s="51" t="e">
        <f t="shared" si="135"/>
        <v>#NUM!</v>
      </c>
      <c r="AR110" s="63" t="e">
        <f t="shared" si="136"/>
        <v>#NUM!</v>
      </c>
      <c r="AS110" s="32" t="str">
        <f t="shared" si="111"/>
        <v>-0.000170731707317073</v>
      </c>
      <c r="AT110" s="32" t="str">
        <f t="shared" si="112"/>
        <v>0.000019859278441419i</v>
      </c>
      <c r="AU110" s="32">
        <f t="shared" si="137"/>
        <v>1.9859278441419001E-5</v>
      </c>
      <c r="AV110" s="32">
        <f t="shared" si="138"/>
        <v>1.5707963267948966</v>
      </c>
      <c r="AW110" s="32" t="str">
        <f t="shared" si="113"/>
        <v>1+0.00422821091691819i</v>
      </c>
      <c r="AX110" s="32">
        <f t="shared" si="139"/>
        <v>1.0000089388438276</v>
      </c>
      <c r="AY110" s="32">
        <f t="shared" si="140"/>
        <v>4.2281857201978135E-3</v>
      </c>
      <c r="AZ110" s="32" t="str">
        <f t="shared" si="114"/>
        <v>1+0.0803360074214457i</v>
      </c>
      <c r="BA110" s="32">
        <f t="shared" si="141"/>
        <v>1.0032217472166454</v>
      </c>
      <c r="BB110" s="32">
        <f t="shared" si="142"/>
        <v>8.0163847431792418E-2</v>
      </c>
      <c r="BC110" s="60" t="str">
        <f t="shared" si="143"/>
        <v>-0.654292741595716+8.59984154362179i</v>
      </c>
      <c r="BD110" s="51">
        <f t="shared" si="144"/>
        <v>18.714875484011202</v>
      </c>
      <c r="BE110" s="63">
        <f t="shared" si="145"/>
        <v>94.350792930607525</v>
      </c>
      <c r="BF110" s="60" t="str">
        <f t="shared" si="146"/>
        <v>38.1530520839438+189.746308039051i</v>
      </c>
      <c r="BG110" s="66">
        <f t="shared" si="147"/>
        <v>45.735598522259764</v>
      </c>
      <c r="BH110" s="63">
        <f t="shared" si="148"/>
        <v>78.630910000725038</v>
      </c>
      <c r="BI110" s="60" t="e">
        <f t="shared" si="101"/>
        <v>#NUM!</v>
      </c>
      <c r="BJ110" s="66" t="e">
        <f t="shared" si="149"/>
        <v>#NUM!</v>
      </c>
      <c r="BK110" s="63" t="e">
        <f t="shared" si="102"/>
        <v>#NUM!</v>
      </c>
      <c r="BL110" s="51">
        <f t="shared" si="150"/>
        <v>45.735598522259764</v>
      </c>
      <c r="BM110" s="63">
        <f t="shared" si="151"/>
        <v>78.630910000725038</v>
      </c>
    </row>
    <row r="111" spans="14:65" x14ac:dyDescent="0.3">
      <c r="N111" s="11">
        <v>93</v>
      </c>
      <c r="O111" s="52">
        <f t="shared" si="115"/>
        <v>85.113803820237734</v>
      </c>
      <c r="P111" s="50" t="str">
        <f t="shared" si="103"/>
        <v>23.3035714285714</v>
      </c>
      <c r="Q111" s="18" t="str">
        <f t="shared" si="104"/>
        <v>1+0.28649239371508i</v>
      </c>
      <c r="R111" s="18">
        <f t="shared" si="116"/>
        <v>1.0402297302310661</v>
      </c>
      <c r="S111" s="18">
        <f t="shared" si="117"/>
        <v>0.27901889391964602</v>
      </c>
      <c r="T111" s="18" t="str">
        <f t="shared" si="105"/>
        <v>1+0.000534785801601484i</v>
      </c>
      <c r="U111" s="18">
        <f t="shared" si="118"/>
        <v>1.0000001429979166</v>
      </c>
      <c r="V111" s="18">
        <f t="shared" si="119"/>
        <v>5.3478575061931884E-4</v>
      </c>
      <c r="W111" s="32" t="str">
        <f t="shared" si="106"/>
        <v>1-0.00130725418169252i</v>
      </c>
      <c r="X111" s="18">
        <f t="shared" si="120"/>
        <v>1.0000008544563828</v>
      </c>
      <c r="Y111" s="18">
        <f t="shared" si="121"/>
        <v>-1.3072534370318458E-3</v>
      </c>
      <c r="Z111" s="32" t="str">
        <f t="shared" si="107"/>
        <v>0.999999971022562+0.00064159589582634i</v>
      </c>
      <c r="AA111" s="18">
        <f t="shared" si="122"/>
        <v>1.0000001768451936</v>
      </c>
      <c r="AB111" s="18">
        <f t="shared" si="123"/>
        <v>6.4159582638151629E-4</v>
      </c>
      <c r="AC111" s="68" t="str">
        <f t="shared" si="124"/>
        <v>21.5272178847222-6.20033692795447i</v>
      </c>
      <c r="AD111" s="66">
        <f t="shared" si="125"/>
        <v>27.005871582143403</v>
      </c>
      <c r="AE111" s="63">
        <f t="shared" si="126"/>
        <v>-16.067624897250695</v>
      </c>
      <c r="AF111" s="51" t="e">
        <f t="shared" si="127"/>
        <v>#NUM!</v>
      </c>
      <c r="AG111" s="51" t="str">
        <f t="shared" si="108"/>
        <v>1-0.401089351201114i</v>
      </c>
      <c r="AH111" s="51">
        <f t="shared" si="128"/>
        <v>1.0774380110460788</v>
      </c>
      <c r="AI111" s="51">
        <f t="shared" si="129"/>
        <v>-0.38144512007168657</v>
      </c>
      <c r="AJ111" s="51" t="str">
        <f t="shared" si="109"/>
        <v>1+0.000534785801601484i</v>
      </c>
      <c r="AK111" s="51">
        <f t="shared" si="130"/>
        <v>1.0000001429979166</v>
      </c>
      <c r="AL111" s="51">
        <f t="shared" si="131"/>
        <v>5.3478575061931884E-4</v>
      </c>
      <c r="AM111" s="51" t="e">
        <f t="shared" si="110"/>
        <v>#NUM!</v>
      </c>
      <c r="AN111" s="51" t="e">
        <f t="shared" si="132"/>
        <v>#NUM!</v>
      </c>
      <c r="AO111" s="51" t="e">
        <f t="shared" si="133"/>
        <v>#NUM!</v>
      </c>
      <c r="AP111" s="60" t="e">
        <f t="shared" si="134"/>
        <v>#NUM!</v>
      </c>
      <c r="AQ111" s="51" t="e">
        <f t="shared" si="135"/>
        <v>#NUM!</v>
      </c>
      <c r="AR111" s="63" t="e">
        <f t="shared" si="136"/>
        <v>#NUM!</v>
      </c>
      <c r="AS111" s="32" t="str">
        <f t="shared" si="111"/>
        <v>-0.000170731707317073</v>
      </c>
      <c r="AT111" s="32" t="str">
        <f t="shared" si="112"/>
        <v>0.0000203218604608564i</v>
      </c>
      <c r="AU111" s="32">
        <f t="shared" si="137"/>
        <v>2.03218604608564E-5</v>
      </c>
      <c r="AV111" s="32">
        <f t="shared" si="138"/>
        <v>1.5707963267948966</v>
      </c>
      <c r="AW111" s="32" t="str">
        <f t="shared" si="113"/>
        <v>1+0.00432669860116737i</v>
      </c>
      <c r="AX111" s="32">
        <f t="shared" si="139"/>
        <v>1.0000093601165867</v>
      </c>
      <c r="AY111" s="32">
        <f t="shared" si="140"/>
        <v>4.3266716024087061E-3</v>
      </c>
      <c r="AZ111" s="32" t="str">
        <f t="shared" si="114"/>
        <v>1+0.0822072734221801i</v>
      </c>
      <c r="BA111" s="32">
        <f t="shared" si="141"/>
        <v>1.0033733282300805</v>
      </c>
      <c r="BB111" s="32">
        <f t="shared" si="142"/>
        <v>8.2022834149180518E-2</v>
      </c>
      <c r="BC111" s="60" t="str">
        <f t="shared" si="143"/>
        <v>-0.654292190329574+8.40421266108956i</v>
      </c>
      <c r="BD111" s="51">
        <f t="shared" si="144"/>
        <v>18.516184113551091</v>
      </c>
      <c r="BE111" s="63">
        <f t="shared" si="145"/>
        <v>94.451662198292453</v>
      </c>
      <c r="BF111" s="60" t="str">
        <f t="shared" si="146"/>
        <v>38.0238595714392+184.976149134189i</v>
      </c>
      <c r="BG111" s="66">
        <f t="shared" si="147"/>
        <v>45.522055695694512</v>
      </c>
      <c r="BH111" s="63">
        <f t="shared" si="148"/>
        <v>78.384037301041801</v>
      </c>
      <c r="BI111" s="60" t="e">
        <f t="shared" si="101"/>
        <v>#NUM!</v>
      </c>
      <c r="BJ111" s="66" t="e">
        <f t="shared" si="149"/>
        <v>#NUM!</v>
      </c>
      <c r="BK111" s="63" t="e">
        <f t="shared" si="102"/>
        <v>#NUM!</v>
      </c>
      <c r="BL111" s="51">
        <f t="shared" si="150"/>
        <v>45.522055695694512</v>
      </c>
      <c r="BM111" s="63">
        <f t="shared" si="151"/>
        <v>78.384037301041801</v>
      </c>
    </row>
    <row r="112" spans="14:65" x14ac:dyDescent="0.3">
      <c r="N112" s="11">
        <v>94</v>
      </c>
      <c r="O112" s="52">
        <f t="shared" si="115"/>
        <v>87.096358995608071</v>
      </c>
      <c r="P112" s="50" t="str">
        <f t="shared" si="103"/>
        <v>23.3035714285714</v>
      </c>
      <c r="Q112" s="18" t="str">
        <f t="shared" si="104"/>
        <v>1+0.29316565883038i</v>
      </c>
      <c r="R112" s="18">
        <f t="shared" si="116"/>
        <v>1.0420873780626319</v>
      </c>
      <c r="S112" s="18">
        <f t="shared" si="117"/>
        <v>0.28517502309790427</v>
      </c>
      <c r="T112" s="18" t="str">
        <f t="shared" si="105"/>
        <v>1+0.000547242563150043i</v>
      </c>
      <c r="U112" s="18">
        <f t="shared" si="118"/>
        <v>1.0000001497372002</v>
      </c>
      <c r="V112" s="18">
        <f t="shared" si="119"/>
        <v>5.4724250852166919E-4</v>
      </c>
      <c r="W112" s="32" t="str">
        <f t="shared" si="106"/>
        <v>1-0.00133770404325566i</v>
      </c>
      <c r="X112" s="18">
        <f t="shared" si="120"/>
        <v>1.0000008947256533</v>
      </c>
      <c r="Y112" s="18">
        <f t="shared" si="121"/>
        <v>-1.3377032453374103E-3</v>
      </c>
      <c r="Z112" s="32" t="str">
        <f t="shared" si="107"/>
        <v>0.999999969656897+0.000656540584075185i</v>
      </c>
      <c r="AA112" s="18">
        <f t="shared" si="122"/>
        <v>1.0000001851796496</v>
      </c>
      <c r="AB112" s="18">
        <f t="shared" si="123"/>
        <v>6.5654050966371677E-4</v>
      </c>
      <c r="AC112" s="68" t="str">
        <f t="shared" si="124"/>
        <v>21.4501266155966-6.32216081536894i</v>
      </c>
      <c r="AD112" s="66">
        <f t="shared" si="125"/>
        <v>26.99037444338105</v>
      </c>
      <c r="AE112" s="63">
        <f t="shared" si="126"/>
        <v>-16.422232310429081</v>
      </c>
      <c r="AF112" s="51" t="e">
        <f t="shared" si="127"/>
        <v>#NUM!</v>
      </c>
      <c r="AG112" s="51" t="str">
        <f t="shared" si="108"/>
        <v>1-0.410431922362533i</v>
      </c>
      <c r="AH112" s="51">
        <f t="shared" si="128"/>
        <v>1.0809506755140146</v>
      </c>
      <c r="AI112" s="51">
        <f t="shared" si="129"/>
        <v>-0.38946693987455439</v>
      </c>
      <c r="AJ112" s="51" t="str">
        <f t="shared" si="109"/>
        <v>1+0.000547242563150043i</v>
      </c>
      <c r="AK112" s="51">
        <f t="shared" si="130"/>
        <v>1.0000001497372002</v>
      </c>
      <c r="AL112" s="51">
        <f t="shared" si="131"/>
        <v>5.4724250852166919E-4</v>
      </c>
      <c r="AM112" s="51" t="e">
        <f t="shared" si="110"/>
        <v>#NUM!</v>
      </c>
      <c r="AN112" s="51" t="e">
        <f t="shared" si="132"/>
        <v>#NUM!</v>
      </c>
      <c r="AO112" s="51" t="e">
        <f t="shared" si="133"/>
        <v>#NUM!</v>
      </c>
      <c r="AP112" s="60" t="e">
        <f t="shared" si="134"/>
        <v>#NUM!</v>
      </c>
      <c r="AQ112" s="51" t="e">
        <f t="shared" si="135"/>
        <v>#NUM!</v>
      </c>
      <c r="AR112" s="63" t="e">
        <f t="shared" si="136"/>
        <v>#NUM!</v>
      </c>
      <c r="AS112" s="32" t="str">
        <f t="shared" si="111"/>
        <v>-0.000170731707317073</v>
      </c>
      <c r="AT112" s="32" t="str">
        <f t="shared" si="112"/>
        <v>0.0000207952173997016i</v>
      </c>
      <c r="AU112" s="32">
        <f t="shared" si="137"/>
        <v>2.07952173997016E-5</v>
      </c>
      <c r="AV112" s="32">
        <f t="shared" si="138"/>
        <v>1.5707963267948966</v>
      </c>
      <c r="AW112" s="32" t="str">
        <f t="shared" si="113"/>
        <v>1+0.0044274803582855i</v>
      </c>
      <c r="AX112" s="32">
        <f t="shared" si="139"/>
        <v>1.0000098012431293</v>
      </c>
      <c r="AY112" s="32">
        <f t="shared" si="140"/>
        <v>4.4274514286096883E-3</v>
      </c>
      <c r="AZ112" s="32" t="str">
        <f t="shared" si="114"/>
        <v>1+0.0841221268074246i</v>
      </c>
      <c r="BA112" s="32">
        <f t="shared" si="141"/>
        <v>1.0035320284966516</v>
      </c>
      <c r="BB112" s="32">
        <f t="shared" si="142"/>
        <v>8.3924534113780452E-2</v>
      </c>
      <c r="BC112" s="60" t="str">
        <f t="shared" si="143"/>
        <v>-0.654291613084056+8.21303980312836i</v>
      </c>
      <c r="BD112" s="51">
        <f t="shared" si="144"/>
        <v>18.317553992036345</v>
      </c>
      <c r="BE112" s="63">
        <f t="shared" si="145"/>
        <v>94.554847321462816</v>
      </c>
      <c r="BF112" s="60" t="str">
        <f t="shared" si="146"/>
        <v>37.8895204742276+180.307280474102i</v>
      </c>
      <c r="BG112" s="66">
        <f t="shared" si="147"/>
        <v>45.307928435417381</v>
      </c>
      <c r="BH112" s="63">
        <f t="shared" si="148"/>
        <v>78.132615011033707</v>
      </c>
      <c r="BI112" s="60" t="e">
        <f t="shared" si="101"/>
        <v>#NUM!</v>
      </c>
      <c r="BJ112" s="66" t="e">
        <f t="shared" si="149"/>
        <v>#NUM!</v>
      </c>
      <c r="BK112" s="63" t="e">
        <f t="shared" si="102"/>
        <v>#NUM!</v>
      </c>
      <c r="BL112" s="51">
        <f t="shared" si="150"/>
        <v>45.307928435417381</v>
      </c>
      <c r="BM112" s="63">
        <f t="shared" si="151"/>
        <v>78.132615011033707</v>
      </c>
    </row>
    <row r="113" spans="14:65" x14ac:dyDescent="0.3">
      <c r="N113" s="11">
        <v>95</v>
      </c>
      <c r="O113" s="52">
        <f t="shared" si="115"/>
        <v>89.125093813374562</v>
      </c>
      <c r="P113" s="50" t="str">
        <f t="shared" si="103"/>
        <v>23.3035714285714</v>
      </c>
      <c r="Q113" s="18" t="str">
        <f t="shared" si="104"/>
        <v>1+0.299994364258498i</v>
      </c>
      <c r="R113" s="18">
        <f t="shared" si="116"/>
        <v>1.0440290314866059</v>
      </c>
      <c r="S113" s="18">
        <f t="shared" si="117"/>
        <v>0.29145162406479952</v>
      </c>
      <c r="T113" s="18" t="str">
        <f t="shared" si="105"/>
        <v>1+0.000559989479949197i</v>
      </c>
      <c r="U113" s="18">
        <f t="shared" si="118"/>
        <v>1.0000001567940966</v>
      </c>
      <c r="V113" s="18">
        <f t="shared" si="119"/>
        <v>5.5998942141384045E-4</v>
      </c>
      <c r="W113" s="32" t="str">
        <f t="shared" si="106"/>
        <v>1-0.00136886317320915i</v>
      </c>
      <c r="X113" s="18">
        <f t="shared" si="120"/>
        <v>1.0000009368927545</v>
      </c>
      <c r="Y113" s="18">
        <f t="shared" si="121"/>
        <v>-1.3688623182243848E-3</v>
      </c>
      <c r="Z113" s="32" t="str">
        <f t="shared" si="107"/>
        <v>0.999999968226871+0.00067183337883205i</v>
      </c>
      <c r="AA113" s="18">
        <f t="shared" si="122"/>
        <v>1.0000001939068972</v>
      </c>
      <c r="AB113" s="18">
        <f t="shared" si="123"/>
        <v>6.7183329909872587E-4</v>
      </c>
      <c r="AC113" s="68" t="str">
        <f t="shared" si="124"/>
        <v>21.3699886028617-6.44538190616659i</v>
      </c>
      <c r="AD113" s="66">
        <f t="shared" si="125"/>
        <v>26.97420600210598</v>
      </c>
      <c r="AE113" s="63">
        <f t="shared" si="126"/>
        <v>-16.783786206870992</v>
      </c>
      <c r="AF113" s="51" t="e">
        <f t="shared" si="127"/>
        <v>#NUM!</v>
      </c>
      <c r="AG113" s="51" t="str">
        <f t="shared" si="108"/>
        <v>1-0.419992109961899i</v>
      </c>
      <c r="AH113" s="51">
        <f t="shared" si="128"/>
        <v>1.0846166937818391</v>
      </c>
      <c r="AI113" s="51">
        <f t="shared" si="129"/>
        <v>-0.3976212845684346</v>
      </c>
      <c r="AJ113" s="51" t="str">
        <f t="shared" si="109"/>
        <v>1+0.000559989479949197i</v>
      </c>
      <c r="AK113" s="51">
        <f t="shared" si="130"/>
        <v>1.0000001567940966</v>
      </c>
      <c r="AL113" s="51">
        <f t="shared" si="131"/>
        <v>5.5998942141384045E-4</v>
      </c>
      <c r="AM113" s="51" t="e">
        <f t="shared" si="110"/>
        <v>#NUM!</v>
      </c>
      <c r="AN113" s="51" t="e">
        <f t="shared" si="132"/>
        <v>#NUM!</v>
      </c>
      <c r="AO113" s="51" t="e">
        <f t="shared" si="133"/>
        <v>#NUM!</v>
      </c>
      <c r="AP113" s="60" t="e">
        <f t="shared" si="134"/>
        <v>#NUM!</v>
      </c>
      <c r="AQ113" s="51" t="e">
        <f t="shared" si="135"/>
        <v>#NUM!</v>
      </c>
      <c r="AR113" s="63" t="e">
        <f t="shared" si="136"/>
        <v>#NUM!</v>
      </c>
      <c r="AS113" s="32" t="str">
        <f t="shared" si="111"/>
        <v>-0.000170731707317073</v>
      </c>
      <c r="AT113" s="32" t="str">
        <f t="shared" si="112"/>
        <v>0.0000212796002380695i</v>
      </c>
      <c r="AU113" s="32">
        <f t="shared" si="137"/>
        <v>2.1279600238069501E-5</v>
      </c>
      <c r="AV113" s="32">
        <f t="shared" si="138"/>
        <v>1.5707963267948966</v>
      </c>
      <c r="AW113" s="32" t="str">
        <f t="shared" si="113"/>
        <v>1+0.00453060962409423i</v>
      </c>
      <c r="AX113" s="32">
        <f t="shared" si="139"/>
        <v>1.0000102631591168</v>
      </c>
      <c r="AY113" s="32">
        <f t="shared" si="140"/>
        <v>4.5305786254052861E-3</v>
      </c>
      <c r="AZ113" s="32" t="str">
        <f t="shared" si="114"/>
        <v>1+0.0860815828577906i</v>
      </c>
      <c r="BA113" s="32">
        <f t="shared" si="141"/>
        <v>1.0036981811816252</v>
      </c>
      <c r="BB113" s="32">
        <f t="shared" si="142"/>
        <v>8.5869900582056069E-2</v>
      </c>
      <c r="BC113" s="60" t="str">
        <f t="shared" si="143"/>
        <v>-0.654291008634886+8.02622160734219i</v>
      </c>
      <c r="BD113" s="51">
        <f t="shared" si="144"/>
        <v>18.11898796534528</v>
      </c>
      <c r="BE113" s="63">
        <f t="shared" si="145"/>
        <v>94.660399856571885</v>
      </c>
      <c r="BF113" s="60" t="str">
        <f t="shared" si="146"/>
        <v>37.7498721253643+175.737419701368i</v>
      </c>
      <c r="BG113" s="66">
        <f t="shared" si="147"/>
        <v>45.093193967451271</v>
      </c>
      <c r="BH113" s="63">
        <f t="shared" si="148"/>
        <v>77.876613649700914</v>
      </c>
      <c r="BI113" s="60" t="e">
        <f t="shared" si="101"/>
        <v>#NUM!</v>
      </c>
      <c r="BJ113" s="66" t="e">
        <f t="shared" si="149"/>
        <v>#NUM!</v>
      </c>
      <c r="BK113" s="63" t="e">
        <f t="shared" si="102"/>
        <v>#NUM!</v>
      </c>
      <c r="BL113" s="51">
        <f t="shared" si="150"/>
        <v>45.093193967451271</v>
      </c>
      <c r="BM113" s="63">
        <f t="shared" si="151"/>
        <v>77.876613649700914</v>
      </c>
    </row>
    <row r="114" spans="14:65" x14ac:dyDescent="0.3">
      <c r="N114" s="11">
        <v>96</v>
      </c>
      <c r="O114" s="52">
        <f t="shared" si="115"/>
        <v>91.201083935590972</v>
      </c>
      <c r="P114" s="50" t="str">
        <f t="shared" si="103"/>
        <v>23.3035714285714</v>
      </c>
      <c r="Q114" s="18" t="str">
        <f t="shared" si="104"/>
        <v>1+0.306982130669441i</v>
      </c>
      <c r="R114" s="18">
        <f t="shared" si="116"/>
        <v>1.0460583294206636</v>
      </c>
      <c r="S114" s="18">
        <f t="shared" si="117"/>
        <v>0.29785004584102043</v>
      </c>
      <c r="T114" s="18" t="str">
        <f t="shared" si="105"/>
        <v>1+0.000573033310582957i</v>
      </c>
      <c r="U114" s="18">
        <f t="shared" si="118"/>
        <v>1.0000001641835741</v>
      </c>
      <c r="V114" s="18">
        <f t="shared" si="119"/>
        <v>5.7303324786119286E-4</v>
      </c>
      <c r="W114" s="32" t="str">
        <f t="shared" si="106"/>
        <v>1-0.00140074809253612i</v>
      </c>
      <c r="X114" s="18">
        <f t="shared" si="120"/>
        <v>1.0000009810471282</v>
      </c>
      <c r="Y114" s="18">
        <f t="shared" si="121"/>
        <v>-1.400747176403487E-3</v>
      </c>
      <c r="Z114" s="32" t="str">
        <f t="shared" si="107"/>
        <v>0.999999966729449+0.000687482388539138i</v>
      </c>
      <c r="AA114" s="18">
        <f t="shared" si="122"/>
        <v>1.0000002030454462</v>
      </c>
      <c r="AB114" s="18">
        <f t="shared" si="123"/>
        <v>6.8748230310334321E-4</v>
      </c>
      <c r="AC114" s="68" t="str">
        <f t="shared" si="124"/>
        <v>21.2867096921451-6.56994899960635i</v>
      </c>
      <c r="AD114" s="66">
        <f t="shared" si="125"/>
        <v>26.957339837707302</v>
      </c>
      <c r="AE114" s="63">
        <f t="shared" si="126"/>
        <v>-17.152364903675963</v>
      </c>
      <c r="AF114" s="51" t="e">
        <f t="shared" si="127"/>
        <v>#NUM!</v>
      </c>
      <c r="AG114" s="51" t="str">
        <f t="shared" si="108"/>
        <v>1-0.429774982937219i</v>
      </c>
      <c r="AH114" s="51">
        <f t="shared" si="128"/>
        <v>1.088442252009121</v>
      </c>
      <c r="AI114" s="51">
        <f t="shared" si="129"/>
        <v>-0.40590813896900729</v>
      </c>
      <c r="AJ114" s="51" t="str">
        <f t="shared" si="109"/>
        <v>1+0.000573033310582957i</v>
      </c>
      <c r="AK114" s="51">
        <f t="shared" si="130"/>
        <v>1.0000001641835741</v>
      </c>
      <c r="AL114" s="51">
        <f t="shared" si="131"/>
        <v>5.7303324786119286E-4</v>
      </c>
      <c r="AM114" s="51" t="e">
        <f t="shared" si="110"/>
        <v>#NUM!</v>
      </c>
      <c r="AN114" s="51" t="e">
        <f t="shared" si="132"/>
        <v>#NUM!</v>
      </c>
      <c r="AO114" s="51" t="e">
        <f t="shared" si="133"/>
        <v>#NUM!</v>
      </c>
      <c r="AP114" s="60" t="e">
        <f t="shared" si="134"/>
        <v>#NUM!</v>
      </c>
      <c r="AQ114" s="51" t="e">
        <f t="shared" si="135"/>
        <v>#NUM!</v>
      </c>
      <c r="AR114" s="63" t="e">
        <f t="shared" si="136"/>
        <v>#NUM!</v>
      </c>
      <c r="AS114" s="32" t="str">
        <f t="shared" si="111"/>
        <v>-0.000170731707317073</v>
      </c>
      <c r="AT114" s="32" t="str">
        <f t="shared" si="112"/>
        <v>0.0000217752658021524i</v>
      </c>
      <c r="AU114" s="32">
        <f t="shared" si="137"/>
        <v>2.1775265802152401E-5</v>
      </c>
      <c r="AV114" s="32">
        <f t="shared" si="138"/>
        <v>1.5707963267948966</v>
      </c>
      <c r="AW114" s="32" t="str">
        <f t="shared" si="113"/>
        <v>1+0.00463614107909537i</v>
      </c>
      <c r="AX114" s="32">
        <f t="shared" si="139"/>
        <v>1.0000107468443054</v>
      </c>
      <c r="AY114" s="32">
        <f t="shared" si="140"/>
        <v>4.6361078634210079E-3</v>
      </c>
      <c r="AZ114" s="32" t="str">
        <f t="shared" si="114"/>
        <v>1+0.0880866805028122i</v>
      </c>
      <c r="BA114" s="32">
        <f t="shared" si="141"/>
        <v>1.0038721349265576</v>
      </c>
      <c r="BB114" s="32">
        <f t="shared" si="142"/>
        <v>8.7859906083189609E-2</v>
      </c>
      <c r="BC114" s="60" t="str">
        <f t="shared" si="143"/>
        <v>-0.6542903757001+7.84365902023367i</v>
      </c>
      <c r="BD114" s="51">
        <f t="shared" si="144"/>
        <v>17.920489009595727</v>
      </c>
      <c r="BE114" s="63">
        <f t="shared" si="145"/>
        <v>94.768372393041105</v>
      </c>
      <c r="BF114" s="60" t="str">
        <f t="shared" si="146"/>
        <v>37.6047504513449+171.264346887172i</v>
      </c>
      <c r="BG114" s="66">
        <f t="shared" si="147"/>
        <v>44.877828847303014</v>
      </c>
      <c r="BH114" s="63">
        <f t="shared" si="148"/>
        <v>77.616007489365145</v>
      </c>
      <c r="BI114" s="60" t="e">
        <f t="shared" ref="BI114:BI177" si="152">IMPRODUCT(AP114,BC114)</f>
        <v>#NUM!</v>
      </c>
      <c r="BJ114" s="66" t="e">
        <f t="shared" si="149"/>
        <v>#NUM!</v>
      </c>
      <c r="BK114" s="63" t="e">
        <f t="shared" ref="BK114:BK177" si="153">(180/PI())*IMARGUMENT(BI114)</f>
        <v>#NUM!</v>
      </c>
      <c r="BL114" s="51">
        <f t="shared" si="150"/>
        <v>44.877828847303014</v>
      </c>
      <c r="BM114" s="63">
        <f t="shared" si="151"/>
        <v>77.616007489365145</v>
      </c>
    </row>
    <row r="115" spans="14:65" x14ac:dyDescent="0.3">
      <c r="N115" s="11">
        <v>97</v>
      </c>
      <c r="O115" s="52">
        <f t="shared" si="115"/>
        <v>93.325430079699174</v>
      </c>
      <c r="P115" s="50" t="str">
        <f t="shared" si="103"/>
        <v>23.3035714285714</v>
      </c>
      <c r="Q115" s="18" t="str">
        <f t="shared" si="104"/>
        <v>1+0.314132663069454i</v>
      </c>
      <c r="R115" s="18">
        <f t="shared" si="116"/>
        <v>1.0481790543638558</v>
      </c>
      <c r="S115" s="18">
        <f t="shared" si="117"/>
        <v>0.30437158457890423</v>
      </c>
      <c r="T115" s="18" t="str">
        <f t="shared" si="105"/>
        <v>1+0.000586380971062982i</v>
      </c>
      <c r="U115" s="18">
        <f t="shared" si="118"/>
        <v>1.0000001719213067</v>
      </c>
      <c r="V115" s="18">
        <f t="shared" si="119"/>
        <v>5.8638090385540161E-4</v>
      </c>
      <c r="W115" s="32" t="str">
        <f t="shared" si="106"/>
        <v>1-0.00143337570704285i</v>
      </c>
      <c r="X115" s="18">
        <f t="shared" si="120"/>
        <v>1.0000010272824311</v>
      </c>
      <c r="Y115" s="18">
        <f t="shared" si="121"/>
        <v>-1.4333747253891019E-3</v>
      </c>
      <c r="Z115" s="32" t="str">
        <f t="shared" si="107"/>
        <v>0.999999965161456+0.000703495910508536i</v>
      </c>
      <c r="AA115" s="18">
        <f t="shared" si="122"/>
        <v>1.0000002126146821</v>
      </c>
      <c r="AB115" s="18">
        <f t="shared" si="123"/>
        <v>7.0349581896243384E-4</v>
      </c>
      <c r="AC115" s="68" t="str">
        <f t="shared" si="124"/>
        <v>21.2001951263123-6.69580571987751i</v>
      </c>
      <c r="AD115" s="66">
        <f t="shared" si="125"/>
        <v>26.939748722784806</v>
      </c>
      <c r="AE115" s="63">
        <f t="shared" si="126"/>
        <v>-17.528043712659603</v>
      </c>
      <c r="AF115" s="51" t="e">
        <f t="shared" si="127"/>
        <v>#NUM!</v>
      </c>
      <c r="AG115" s="51" t="str">
        <f t="shared" si="108"/>
        <v>1-0.439785728297238i</v>
      </c>
      <c r="AH115" s="51">
        <f t="shared" si="128"/>
        <v>1.0924337448165595</v>
      </c>
      <c r="AI115" s="51">
        <f t="shared" si="129"/>
        <v>-0.41432734322872428</v>
      </c>
      <c r="AJ115" s="51" t="str">
        <f t="shared" si="109"/>
        <v>1+0.000586380971062982i</v>
      </c>
      <c r="AK115" s="51">
        <f t="shared" si="130"/>
        <v>1.0000001719213067</v>
      </c>
      <c r="AL115" s="51">
        <f t="shared" si="131"/>
        <v>5.8638090385540161E-4</v>
      </c>
      <c r="AM115" s="51" t="e">
        <f t="shared" si="110"/>
        <v>#NUM!</v>
      </c>
      <c r="AN115" s="51" t="e">
        <f t="shared" si="132"/>
        <v>#NUM!</v>
      </c>
      <c r="AO115" s="51" t="e">
        <f t="shared" si="133"/>
        <v>#NUM!</v>
      </c>
      <c r="AP115" s="60" t="e">
        <f t="shared" si="134"/>
        <v>#NUM!</v>
      </c>
      <c r="AQ115" s="51" t="e">
        <f t="shared" si="135"/>
        <v>#NUM!</v>
      </c>
      <c r="AR115" s="63" t="e">
        <f t="shared" si="136"/>
        <v>#NUM!</v>
      </c>
      <c r="AS115" s="32" t="str">
        <f t="shared" si="111"/>
        <v>-0.000170731707317073</v>
      </c>
      <c r="AT115" s="32" t="str">
        <f t="shared" si="112"/>
        <v>0.0000222824769003933i</v>
      </c>
      <c r="AU115" s="32">
        <f t="shared" si="137"/>
        <v>2.2282476900393299E-5</v>
      </c>
      <c r="AV115" s="32">
        <f t="shared" si="138"/>
        <v>1.5707963267948966</v>
      </c>
      <c r="AW115" s="32" t="str">
        <f t="shared" si="113"/>
        <v>1+0.00474413067746324i</v>
      </c>
      <c r="AX115" s="32">
        <f t="shared" si="139"/>
        <v>1.0000112533246237</v>
      </c>
      <c r="AY115" s="32">
        <f t="shared" si="140"/>
        <v>4.7440950862485563E-3</v>
      </c>
      <c r="AZ115" s="32" t="str">
        <f t="shared" si="114"/>
        <v>1+0.0901384828718016i</v>
      </c>
      <c r="BA115" s="32">
        <f t="shared" si="141"/>
        <v>1.0040542545572078</v>
      </c>
      <c r="BB115" s="32">
        <f t="shared" si="142"/>
        <v>8.9895542664153741E-2</v>
      </c>
      <c r="BC115" s="60" t="str">
        <f t="shared" si="143"/>
        <v>-0.654289712937331+7.66525524468413i</v>
      </c>
      <c r="BD115" s="51">
        <f t="shared" si="144"/>
        <v>17.722060236914398</v>
      </c>
      <c r="BE115" s="63">
        <f t="shared" si="145"/>
        <v>94.878818565643428</v>
      </c>
      <c r="BF115" s="60" t="str">
        <f t="shared" si="146"/>
        <v>37.4539903282668+166.885903682635i</v>
      </c>
      <c r="BG115" s="66">
        <f t="shared" si="147"/>
        <v>44.661808959699201</v>
      </c>
      <c r="BH115" s="63">
        <f t="shared" si="148"/>
        <v>77.350774852983832</v>
      </c>
      <c r="BI115" s="60" t="e">
        <f t="shared" si="152"/>
        <v>#NUM!</v>
      </c>
      <c r="BJ115" s="66" t="e">
        <f t="shared" si="149"/>
        <v>#NUM!</v>
      </c>
      <c r="BK115" s="63" t="e">
        <f t="shared" si="153"/>
        <v>#NUM!</v>
      </c>
      <c r="BL115" s="51">
        <f t="shared" si="150"/>
        <v>44.661808959699201</v>
      </c>
      <c r="BM115" s="63">
        <f t="shared" si="151"/>
        <v>77.350774852983832</v>
      </c>
    </row>
    <row r="116" spans="14:65" x14ac:dyDescent="0.3">
      <c r="N116" s="11">
        <v>98</v>
      </c>
      <c r="O116" s="52">
        <f t="shared" si="115"/>
        <v>95.499258602143655</v>
      </c>
      <c r="P116" s="50" t="str">
        <f t="shared" si="103"/>
        <v>23.3035714285714</v>
      </c>
      <c r="Q116" s="18" t="str">
        <f t="shared" si="104"/>
        <v>1+0.321449752765464i</v>
      </c>
      <c r="R116" s="18">
        <f t="shared" si="116"/>
        <v>1.050395136866588</v>
      </c>
      <c r="S116" s="18">
        <f t="shared" si="117"/>
        <v>0.31101747836929805</v>
      </c>
      <c r="T116" s="18" t="str">
        <f t="shared" si="105"/>
        <v>1+0.000600039538495533i</v>
      </c>
      <c r="U116" s="18">
        <f t="shared" si="118"/>
        <v>1.0000001800237077</v>
      </c>
      <c r="V116" s="18">
        <f t="shared" si="119"/>
        <v>6.0003946648131377E-4</v>
      </c>
      <c r="W116" s="32" t="str">
        <f t="shared" si="106"/>
        <v>1-0.00146676331632241i</v>
      </c>
      <c r="X116" s="18">
        <f t="shared" si="120"/>
        <v>1.0000010756967344</v>
      </c>
      <c r="Y116" s="18">
        <f t="shared" si="121"/>
        <v>-1.466762264461529E-3</v>
      </c>
      <c r="Z116" s="32" t="str">
        <f t="shared" si="107"/>
        <v>0.999999963519566+0.000719882435321553i</v>
      </c>
      <c r="AA116" s="18">
        <f t="shared" si="122"/>
        <v>1.0000002226349021</v>
      </c>
      <c r="AB116" s="18">
        <f t="shared" si="123"/>
        <v>7.1988233722813824E-4</v>
      </c>
      <c r="AC116" s="68" t="str">
        <f t="shared" si="124"/>
        <v>21.1103497707375-6.82289030337778i</v>
      </c>
      <c r="AD116" s="66">
        <f t="shared" si="125"/>
        <v>26.921404618950142</v>
      </c>
      <c r="AE116" s="63">
        <f t="shared" si="126"/>
        <v>-17.910894643363353</v>
      </c>
      <c r="AF116" s="51" t="e">
        <f t="shared" si="127"/>
        <v>#NUM!</v>
      </c>
      <c r="AG116" s="51" t="str">
        <f t="shared" si="108"/>
        <v>1-0.450029653871651i</v>
      </c>
      <c r="AH116" s="51">
        <f t="shared" si="128"/>
        <v>1.0965977792079638</v>
      </c>
      <c r="AI116" s="51">
        <f t="shared" si="129"/>
        <v>-0.42287858604360778</v>
      </c>
      <c r="AJ116" s="51" t="str">
        <f t="shared" si="109"/>
        <v>1+0.000600039538495533i</v>
      </c>
      <c r="AK116" s="51">
        <f t="shared" si="130"/>
        <v>1.0000001800237077</v>
      </c>
      <c r="AL116" s="51">
        <f t="shared" si="131"/>
        <v>6.0003946648131377E-4</v>
      </c>
      <c r="AM116" s="51" t="e">
        <f t="shared" si="110"/>
        <v>#NUM!</v>
      </c>
      <c r="AN116" s="51" t="e">
        <f t="shared" si="132"/>
        <v>#NUM!</v>
      </c>
      <c r="AO116" s="51" t="e">
        <f t="shared" si="133"/>
        <v>#NUM!</v>
      </c>
      <c r="AP116" s="60" t="e">
        <f t="shared" si="134"/>
        <v>#NUM!</v>
      </c>
      <c r="AQ116" s="51" t="e">
        <f t="shared" si="135"/>
        <v>#NUM!</v>
      </c>
      <c r="AR116" s="63" t="e">
        <f t="shared" si="136"/>
        <v>#NUM!</v>
      </c>
      <c r="AS116" s="32" t="str">
        <f t="shared" si="111"/>
        <v>-0.000170731707317073</v>
      </c>
      <c r="AT116" s="32" t="str">
        <f t="shared" si="112"/>
        <v>0.0000228015024628302i</v>
      </c>
      <c r="AU116" s="32">
        <f t="shared" si="137"/>
        <v>2.2801502462830201E-5</v>
      </c>
      <c r="AV116" s="32">
        <f t="shared" si="138"/>
        <v>1.5707963267948966</v>
      </c>
      <c r="AW116" s="32" t="str">
        <f t="shared" si="113"/>
        <v>1+0.00485463567671227i</v>
      </c>
      <c r="AX116" s="32">
        <f t="shared" si="139"/>
        <v>1.0000117836743492</v>
      </c>
      <c r="AY116" s="32">
        <f t="shared" si="140"/>
        <v>4.8545975400629097E-3</v>
      </c>
      <c r="AZ116" s="32" t="str">
        <f t="shared" si="114"/>
        <v>1+0.0922380778575334i</v>
      </c>
      <c r="BA116" s="32">
        <f t="shared" si="141"/>
        <v>1.0042449218227854</v>
      </c>
      <c r="BB116" s="32">
        <f t="shared" si="142"/>
        <v>9.1977822126606684E-2</v>
      </c>
      <c r="BC116" s="60" t="str">
        <f t="shared" si="143"/>
        <v>-0.654289018940956+7.49091568863053i</v>
      </c>
      <c r="BD116" s="51">
        <f t="shared" si="144"/>
        <v>17.523704901444038</v>
      </c>
      <c r="BE116" s="63">
        <f t="shared" si="145"/>
        <v>94.991793066379373</v>
      </c>
      <c r="BF116" s="60" t="str">
        <f t="shared" si="146"/>
        <v>37.2974259743815+162.599992493034i</v>
      </c>
      <c r="BG116" s="66">
        <f t="shared" si="147"/>
        <v>44.445109520394169</v>
      </c>
      <c r="BH116" s="63">
        <f t="shared" si="148"/>
        <v>77.080898423015995</v>
      </c>
      <c r="BI116" s="60" t="e">
        <f t="shared" si="152"/>
        <v>#NUM!</v>
      </c>
      <c r="BJ116" s="66" t="e">
        <f t="shared" si="149"/>
        <v>#NUM!</v>
      </c>
      <c r="BK116" s="63" t="e">
        <f t="shared" si="153"/>
        <v>#NUM!</v>
      </c>
      <c r="BL116" s="51">
        <f t="shared" si="150"/>
        <v>44.445109520394169</v>
      </c>
      <c r="BM116" s="63">
        <f t="shared" si="151"/>
        <v>77.080898423015995</v>
      </c>
    </row>
    <row r="117" spans="14:65" x14ac:dyDescent="0.3">
      <c r="N117" s="11">
        <v>99</v>
      </c>
      <c r="O117" s="52">
        <f t="shared" si="115"/>
        <v>97.723722095581124</v>
      </c>
      <c r="P117" s="50" t="str">
        <f t="shared" si="103"/>
        <v>23.3035714285714</v>
      </c>
      <c r="Q117" s="18" t="str">
        <f t="shared" si="104"/>
        <v>1+0.328937279375279i</v>
      </c>
      <c r="R117" s="18">
        <f t="shared" si="116"/>
        <v>1.052710660040455</v>
      </c>
      <c r="S117" s="18">
        <f t="shared" si="117"/>
        <v>0.31778890184130859</v>
      </c>
      <c r="T117" s="18" t="str">
        <f t="shared" si="105"/>
        <v>1+0.000614016254833856i</v>
      </c>
      <c r="U117" s="18">
        <f t="shared" si="118"/>
        <v>1.0000001885079628</v>
      </c>
      <c r="V117" s="18">
        <f t="shared" si="119"/>
        <v>6.1401617766923056E-4</v>
      </c>
      <c r="W117" s="32" t="str">
        <f t="shared" si="106"/>
        <v>1-0.0015009286229272i</v>
      </c>
      <c r="X117" s="18">
        <f t="shared" si="120"/>
        <v>1.0000011263927313</v>
      </c>
      <c r="Y117" s="18">
        <f t="shared" si="121"/>
        <v>-1.500927495838028E-3</v>
      </c>
      <c r="Z117" s="32" t="str">
        <f t="shared" si="107"/>
        <v>0.999999961800297+0.000736650651330548i</v>
      </c>
      <c r="AA117" s="18">
        <f t="shared" si="122"/>
        <v>1.0000002331273616</v>
      </c>
      <c r="AB117" s="18">
        <f t="shared" si="123"/>
        <v>7.3665054622156108E-4</v>
      </c>
      <c r="AC117" s="68" t="str">
        <f t="shared" si="124"/>
        <v>21.017078360269-6.95113539042633i</v>
      </c>
      <c r="AD117" s="66">
        <f t="shared" si="125"/>
        <v>26.902278674643266</v>
      </c>
      <c r="AE117" s="63">
        <f t="shared" si="126"/>
        <v>-18.300986094212156</v>
      </c>
      <c r="AF117" s="51" t="e">
        <f t="shared" si="127"/>
        <v>#NUM!</v>
      </c>
      <c r="AG117" s="51" t="str">
        <f t="shared" si="108"/>
        <v>1-0.460512191125393i</v>
      </c>
      <c r="AH117" s="51">
        <f t="shared" si="128"/>
        <v>1.1009411783447427</v>
      </c>
      <c r="AI117" s="51">
        <f t="shared" si="129"/>
        <v>-0.43156139796003457</v>
      </c>
      <c r="AJ117" s="51" t="str">
        <f t="shared" si="109"/>
        <v>1+0.000614016254833856i</v>
      </c>
      <c r="AK117" s="51">
        <f t="shared" si="130"/>
        <v>1.0000001885079628</v>
      </c>
      <c r="AL117" s="51">
        <f t="shared" si="131"/>
        <v>6.1401617766923056E-4</v>
      </c>
      <c r="AM117" s="51" t="e">
        <f t="shared" si="110"/>
        <v>#NUM!</v>
      </c>
      <c r="AN117" s="51" t="e">
        <f t="shared" si="132"/>
        <v>#NUM!</v>
      </c>
      <c r="AO117" s="51" t="e">
        <f t="shared" si="133"/>
        <v>#NUM!</v>
      </c>
      <c r="AP117" s="60" t="e">
        <f t="shared" si="134"/>
        <v>#NUM!</v>
      </c>
      <c r="AQ117" s="51" t="e">
        <f t="shared" si="135"/>
        <v>#NUM!</v>
      </c>
      <c r="AR117" s="63" t="e">
        <f t="shared" si="136"/>
        <v>#NUM!</v>
      </c>
      <c r="AS117" s="32" t="str">
        <f t="shared" si="111"/>
        <v>-0.000170731707317073</v>
      </c>
      <c r="AT117" s="32" t="str">
        <f t="shared" si="112"/>
        <v>0.0000233326176836865i</v>
      </c>
      <c r="AU117" s="32">
        <f t="shared" si="137"/>
        <v>2.33326176836865E-5</v>
      </c>
      <c r="AV117" s="32">
        <f t="shared" si="138"/>
        <v>1.5707963267948966</v>
      </c>
      <c r="AW117" s="32" t="str">
        <f t="shared" si="113"/>
        <v>1+0.0049677146680558i</v>
      </c>
      <c r="AX117" s="32">
        <f t="shared" si="139"/>
        <v>1.0000123390183859</v>
      </c>
      <c r="AY117" s="32">
        <f t="shared" si="140"/>
        <v>4.9676738039270054E-3</v>
      </c>
      <c r="AZ117" s="32" t="str">
        <f t="shared" si="114"/>
        <v>1+0.0943865786930604i</v>
      </c>
      <c r="BA117" s="32">
        <f t="shared" si="141"/>
        <v>1.0044445361678171</v>
      </c>
      <c r="BB117" s="32">
        <f t="shared" si="142"/>
        <v>9.4107776254513331E-2</v>
      </c>
      <c r="BC117" s="60" t="str">
        <f t="shared" si="143"/>
        <v>-0.654288292239113+7.3205479149114i</v>
      </c>
      <c r="BD117" s="51">
        <f t="shared" si="144"/>
        <v>17.325426405595813</v>
      </c>
      <c r="BE117" s="63">
        <f t="shared" si="145"/>
        <v>95.107351655782352</v>
      </c>
      <c r="BF117" s="60" t="str">
        <f t="shared" si="146"/>
        <v>37.1348913804563+158.404575671522i</v>
      </c>
      <c r="BG117" s="66">
        <f t="shared" si="147"/>
        <v>44.227705080239097</v>
      </c>
      <c r="BH117" s="63">
        <f t="shared" si="148"/>
        <v>76.806365561570217</v>
      </c>
      <c r="BI117" s="60" t="e">
        <f t="shared" si="152"/>
        <v>#NUM!</v>
      </c>
      <c r="BJ117" s="66" t="e">
        <f t="shared" si="149"/>
        <v>#NUM!</v>
      </c>
      <c r="BK117" s="63" t="e">
        <f t="shared" si="153"/>
        <v>#NUM!</v>
      </c>
      <c r="BL117" s="51">
        <f t="shared" si="150"/>
        <v>44.227705080239097</v>
      </c>
      <c r="BM117" s="63">
        <f t="shared" si="151"/>
        <v>76.806365561570217</v>
      </c>
    </row>
    <row r="118" spans="14:65" x14ac:dyDescent="0.3">
      <c r="N118" s="11">
        <v>100</v>
      </c>
      <c r="O118" s="52">
        <f t="shared" si="115"/>
        <v>100</v>
      </c>
      <c r="P118" s="50" t="str">
        <f t="shared" si="103"/>
        <v>23.3035714285714</v>
      </c>
      <c r="Q118" s="18" t="str">
        <f t="shared" si="104"/>
        <v>1+0.33659921288462i</v>
      </c>
      <c r="R118" s="18">
        <f t="shared" si="116"/>
        <v>1.0551298640994604</v>
      </c>
      <c r="S118" s="18">
        <f t="shared" si="117"/>
        <v>0.32468696056014679</v>
      </c>
      <c r="T118" s="18" t="str">
        <f t="shared" si="105"/>
        <v>1+0.000628318530717959i</v>
      </c>
      <c r="U118" s="18">
        <f t="shared" si="118"/>
        <v>1.0000001973920685</v>
      </c>
      <c r="V118" s="18">
        <f t="shared" si="119"/>
        <v>6.2831844803457417E-4</v>
      </c>
      <c r="W118" s="32" t="str">
        <f t="shared" si="106"/>
        <v>1-0.00153588974175501i</v>
      </c>
      <c r="X118" s="18">
        <f t="shared" si="120"/>
        <v>1.0000011794779537</v>
      </c>
      <c r="Y118" s="18">
        <f t="shared" si="121"/>
        <v>-1.5358885340572804E-3</v>
      </c>
      <c r="Z118" s="32" t="str">
        <f t="shared" si="107"/>
        <v>0.99999996+0.000753809449265603i</v>
      </c>
      <c r="AA118" s="18">
        <f t="shared" si="122"/>
        <v>1.0000002441143139</v>
      </c>
      <c r="AB118" s="18">
        <f t="shared" si="123"/>
        <v>7.5380933663929622E-4</v>
      </c>
      <c r="AC118" s="68" t="str">
        <f t="shared" si="124"/>
        <v>20.9202857686291-7.08046782313309i</v>
      </c>
      <c r="AD118" s="66">
        <f t="shared" si="125"/>
        <v>26.882341225153933</v>
      </c>
      <c r="AE118" s="63">
        <f t="shared" si="126"/>
        <v>-18.698382532115403</v>
      </c>
      <c r="AF118" s="51" t="e">
        <f t="shared" si="127"/>
        <v>#NUM!</v>
      </c>
      <c r="AG118" s="51" t="str">
        <f t="shared" si="108"/>
        <v>1-0.47123889803847i</v>
      </c>
      <c r="AH118" s="51">
        <f t="shared" si="128"/>
        <v>1.1054709851572369</v>
      </c>
      <c r="AI118" s="51">
        <f t="shared" si="129"/>
        <v>-0.44037514482383022</v>
      </c>
      <c r="AJ118" s="51" t="str">
        <f t="shared" si="109"/>
        <v>1+0.000628318530717959i</v>
      </c>
      <c r="AK118" s="51">
        <f t="shared" si="130"/>
        <v>1.0000001973920685</v>
      </c>
      <c r="AL118" s="51">
        <f t="shared" si="131"/>
        <v>6.2831844803457417E-4</v>
      </c>
      <c r="AM118" s="51" t="e">
        <f t="shared" si="110"/>
        <v>#NUM!</v>
      </c>
      <c r="AN118" s="51" t="e">
        <f t="shared" si="132"/>
        <v>#NUM!</v>
      </c>
      <c r="AO118" s="51" t="e">
        <f t="shared" si="133"/>
        <v>#NUM!</v>
      </c>
      <c r="AP118" s="60" t="e">
        <f t="shared" si="134"/>
        <v>#NUM!</v>
      </c>
      <c r="AQ118" s="51" t="e">
        <f t="shared" si="135"/>
        <v>#NUM!</v>
      </c>
      <c r="AR118" s="63" t="e">
        <f t="shared" si="136"/>
        <v>#NUM!</v>
      </c>
      <c r="AS118" s="32" t="str">
        <f t="shared" si="111"/>
        <v>-0.000170731707317073</v>
      </c>
      <c r="AT118" s="32" t="str">
        <f t="shared" si="112"/>
        <v>0.0000238761041672824i</v>
      </c>
      <c r="AU118" s="32">
        <f t="shared" si="137"/>
        <v>2.3876104167282401E-5</v>
      </c>
      <c r="AV118" s="32">
        <f t="shared" si="138"/>
        <v>1.5707963267948966</v>
      </c>
      <c r="AW118" s="32" t="str">
        <f t="shared" si="113"/>
        <v>1+0.00508342760747182i</v>
      </c>
      <c r="AX118" s="32">
        <f t="shared" si="139"/>
        <v>1.0000129205346502</v>
      </c>
      <c r="AY118" s="32">
        <f t="shared" si="140"/>
        <v>5.0833838207994808E-3</v>
      </c>
      <c r="AZ118" s="32" t="str">
        <f t="shared" si="114"/>
        <v>1+0.0965851245419647i</v>
      </c>
      <c r="BA118" s="32">
        <f t="shared" si="141"/>
        <v>1.0046535155379623</v>
      </c>
      <c r="BB118" s="32">
        <f t="shared" si="142"/>
        <v>9.6286457031308476E-2</v>
      </c>
      <c r="BC118" s="60" t="str">
        <f t="shared" si="143"/>
        <v>-0.654287531290599+7.1540615922553i</v>
      </c>
      <c r="BD118" s="51">
        <f t="shared" si="144"/>
        <v>17.127228306554951</v>
      </c>
      <c r="BE118" s="63">
        <f t="shared" si="145"/>
        <v>95.225551173584805</v>
      </c>
      <c r="BF118" s="60" t="str">
        <f t="shared" si="146"/>
        <v>36.9662207792258+154.297674728735i</v>
      </c>
      <c r="BG118" s="66">
        <f t="shared" si="147"/>
        <v>44.009569531708891</v>
      </c>
      <c r="BH118" s="63">
        <f t="shared" si="148"/>
        <v>76.527168641469402</v>
      </c>
      <c r="BI118" s="60" t="e">
        <f t="shared" si="152"/>
        <v>#NUM!</v>
      </c>
      <c r="BJ118" s="66" t="e">
        <f t="shared" si="149"/>
        <v>#NUM!</v>
      </c>
      <c r="BK118" s="63" t="e">
        <f t="shared" si="153"/>
        <v>#NUM!</v>
      </c>
      <c r="BL118" s="51">
        <f t="shared" si="150"/>
        <v>44.009569531708891</v>
      </c>
      <c r="BM118" s="63">
        <f t="shared" si="151"/>
        <v>76.527168641469402</v>
      </c>
    </row>
    <row r="119" spans="14:65" x14ac:dyDescent="0.3">
      <c r="N119" s="11">
        <v>1</v>
      </c>
      <c r="O119" s="52">
        <f>10^(2+(N119/100))</f>
        <v>102.32929922807544</v>
      </c>
      <c r="P119" s="50" t="str">
        <f t="shared" si="103"/>
        <v>23.3035714285714</v>
      </c>
      <c r="Q119" s="18" t="str">
        <f t="shared" si="104"/>
        <v>1+0.34443961575205i</v>
      </c>
      <c r="R119" s="18">
        <f t="shared" si="116"/>
        <v>1.0576571509234076</v>
      </c>
      <c r="S119" s="18">
        <f t="shared" si="117"/>
        <v>0.33171268523000436</v>
      </c>
      <c r="T119" s="18" t="str">
        <f t="shared" si="105"/>
        <v>1+0.000642953949403827i</v>
      </c>
      <c r="U119" s="18">
        <f t="shared" si="118"/>
        <v>1.0000002066948692</v>
      </c>
      <c r="V119" s="18">
        <f t="shared" si="119"/>
        <v>6.4295386080698486E-4</v>
      </c>
      <c r="W119" s="32" t="str">
        <f t="shared" si="106"/>
        <v>1-0.0015716652096538i</v>
      </c>
      <c r="X119" s="18">
        <f t="shared" si="120"/>
        <v>1.0000012350650029</v>
      </c>
      <c r="Y119" s="18">
        <f t="shared" si="121"/>
        <v>-1.5716639155824543E-3</v>
      </c>
      <c r="Z119" s="32" t="str">
        <f t="shared" si="107"/>
        <v>0.999999958114858+0.000771367926948506i</v>
      </c>
      <c r="AA119" s="18">
        <f t="shared" si="122"/>
        <v>1.0000002556190657</v>
      </c>
      <c r="AB119" s="18">
        <f t="shared" si="123"/>
        <v>7.7136780626724569E-4</v>
      </c>
      <c r="AC119" s="68" t="str">
        <f t="shared" si="124"/>
        <v>20.8198773008834-7.21080845129805i</v>
      </c>
      <c r="AD119" s="66">
        <f t="shared" si="125"/>
        <v>26.861561795041506</v>
      </c>
      <c r="AE119" s="63">
        <f t="shared" si="126"/>
        <v>-19.103144160912173</v>
      </c>
      <c r="AF119" s="51" t="e">
        <f t="shared" si="127"/>
        <v>#NUM!</v>
      </c>
      <c r="AG119" s="51" t="str">
        <f t="shared" si="108"/>
        <v>1-0.482215462052871i</v>
      </c>
      <c r="AH119" s="51">
        <f t="shared" si="128"/>
        <v>1.1101944657774439</v>
      </c>
      <c r="AI119" s="51">
        <f t="shared" si="129"/>
        <v>-0.44931902141669616</v>
      </c>
      <c r="AJ119" s="51" t="str">
        <f t="shared" si="109"/>
        <v>1+0.000642953949403827i</v>
      </c>
      <c r="AK119" s="51">
        <f t="shared" si="130"/>
        <v>1.0000002066948692</v>
      </c>
      <c r="AL119" s="51">
        <f t="shared" si="131"/>
        <v>6.4295386080698486E-4</v>
      </c>
      <c r="AM119" s="51" t="e">
        <f t="shared" si="110"/>
        <v>#NUM!</v>
      </c>
      <c r="AN119" s="51" t="e">
        <f t="shared" si="132"/>
        <v>#NUM!</v>
      </c>
      <c r="AO119" s="51" t="e">
        <f t="shared" si="133"/>
        <v>#NUM!</v>
      </c>
      <c r="AP119" s="60" t="e">
        <f t="shared" si="134"/>
        <v>#NUM!</v>
      </c>
      <c r="AQ119" s="51" t="e">
        <f t="shared" si="135"/>
        <v>#NUM!</v>
      </c>
      <c r="AR119" s="63" t="e">
        <f t="shared" si="136"/>
        <v>#NUM!</v>
      </c>
      <c r="AS119" s="32" t="str">
        <f t="shared" si="111"/>
        <v>-0.000170731707317073</v>
      </c>
      <c r="AT119" s="32" t="str">
        <f t="shared" si="112"/>
        <v>0.0000244322500773454i</v>
      </c>
      <c r="AU119" s="32">
        <f t="shared" si="137"/>
        <v>2.44322500773454E-5</v>
      </c>
      <c r="AV119" s="32">
        <f t="shared" si="138"/>
        <v>1.5707963267948966</v>
      </c>
      <c r="AW119" s="32" t="str">
        <f t="shared" si="113"/>
        <v>1+0.00520183584749243i</v>
      </c>
      <c r="AX119" s="32">
        <f t="shared" si="139"/>
        <v>1.0000135294565691</v>
      </c>
      <c r="AY119" s="32">
        <f t="shared" si="140"/>
        <v>5.2017889292619891E-3</v>
      </c>
      <c r="AZ119" s="32" t="str">
        <f t="shared" si="114"/>
        <v>1+0.0988348811023563i</v>
      </c>
      <c r="BA119" s="32">
        <f t="shared" si="141"/>
        <v>1.0048722972211528</v>
      </c>
      <c r="BB119" s="32">
        <f t="shared" si="142"/>
        <v>9.8514936845334147E-2</v>
      </c>
      <c r="BC119" s="60" t="str">
        <f t="shared" si="143"/>
        <v>-0.654286734481584+6.99136844738592i</v>
      </c>
      <c r="BD119" s="51">
        <f t="shared" si="144"/>
        <v>16.929114323048044</v>
      </c>
      <c r="BE119" s="63">
        <f t="shared" si="145"/>
        <v>95.346449548670904</v>
      </c>
      <c r="BF119" s="60" t="str">
        <f t="shared" si="146"/>
        <v>36.7912491550467+150.277369554415i</v>
      </c>
      <c r="BG119" s="66">
        <f t="shared" si="147"/>
        <v>43.790676118089571</v>
      </c>
      <c r="BH119" s="63">
        <f t="shared" si="148"/>
        <v>76.243305387758753</v>
      </c>
      <c r="BI119" s="60" t="e">
        <f t="shared" si="152"/>
        <v>#NUM!</v>
      </c>
      <c r="BJ119" s="66" t="e">
        <f t="shared" si="149"/>
        <v>#NUM!</v>
      </c>
      <c r="BK119" s="63" t="e">
        <f t="shared" si="153"/>
        <v>#NUM!</v>
      </c>
      <c r="BL119" s="51">
        <f t="shared" si="150"/>
        <v>43.790676118089571</v>
      </c>
      <c r="BM119" s="63">
        <f t="shared" si="151"/>
        <v>76.243305387758753</v>
      </c>
    </row>
    <row r="120" spans="14:65" x14ac:dyDescent="0.3">
      <c r="N120" s="11">
        <v>2</v>
      </c>
      <c r="O120" s="52">
        <f t="shared" ref="O120:O183" si="154">10^(2+(N120/100))</f>
        <v>104.71285480508998</v>
      </c>
      <c r="P120" s="50" t="str">
        <f t="shared" si="103"/>
        <v>23.3035714285714</v>
      </c>
      <c r="Q120" s="18" t="str">
        <f t="shared" si="104"/>
        <v>1+0.352462645062948i</v>
      </c>
      <c r="R120" s="18">
        <f t="shared" si="116"/>
        <v>1.0602970886335441</v>
      </c>
      <c r="S120" s="18">
        <f t="shared" si="117"/>
        <v>0.33886702571087057</v>
      </c>
      <c r="T120" s="18" t="str">
        <f t="shared" si="105"/>
        <v>1+0.000657930270784171i</v>
      </c>
      <c r="U120" s="18">
        <f t="shared" si="118"/>
        <v>1.0000002164360973</v>
      </c>
      <c r="V120" s="18">
        <f t="shared" si="119"/>
        <v>6.5793017585094528E-4</v>
      </c>
      <c r="W120" s="32" t="str">
        <f t="shared" si="106"/>
        <v>1-0.0016082739952502i</v>
      </c>
      <c r="X120" s="18">
        <f t="shared" si="120"/>
        <v>1.0000012932717857</v>
      </c>
      <c r="Y120" s="18">
        <f t="shared" si="121"/>
        <v>-1.6082726086278677E-3</v>
      </c>
      <c r="Z120" s="32" t="str">
        <f t="shared" si="107"/>
        <v>0.999999956140872+0.000789335394116539i</v>
      </c>
      <c r="AA120" s="18">
        <f t="shared" si="122"/>
        <v>1.0000002676660193</v>
      </c>
      <c r="AB120" s="18">
        <f t="shared" si="123"/>
        <v>7.8933526480424077E-4</v>
      </c>
      <c r="AC120" s="68" t="str">
        <f t="shared" si="124"/>
        <v>20.7157590095033-7.34207194836836i</v>
      </c>
      <c r="AD120" s="66">
        <f t="shared" si="125"/>
        <v>26.839909103153769</v>
      </c>
      <c r="AE120" s="63">
        <f t="shared" si="126"/>
        <v>-19.515326579168448</v>
      </c>
      <c r="AF120" s="51" t="e">
        <f t="shared" si="127"/>
        <v>#NUM!</v>
      </c>
      <c r="AG120" s="51" t="str">
        <f t="shared" si="108"/>
        <v>1-0.493447703088129i</v>
      </c>
      <c r="AH120" s="51">
        <f t="shared" si="128"/>
        <v>1.1151191127780702</v>
      </c>
      <c r="AI120" s="51">
        <f t="shared" si="129"/>
        <v>-0.45839204532745731</v>
      </c>
      <c r="AJ120" s="51" t="str">
        <f t="shared" si="109"/>
        <v>1+0.000657930270784171i</v>
      </c>
      <c r="AK120" s="51">
        <f t="shared" si="130"/>
        <v>1.0000002164360973</v>
      </c>
      <c r="AL120" s="51">
        <f t="shared" si="131"/>
        <v>6.5793017585094528E-4</v>
      </c>
      <c r="AM120" s="51" t="e">
        <f t="shared" si="110"/>
        <v>#NUM!</v>
      </c>
      <c r="AN120" s="51" t="e">
        <f t="shared" si="132"/>
        <v>#NUM!</v>
      </c>
      <c r="AO120" s="51" t="e">
        <f t="shared" si="133"/>
        <v>#NUM!</v>
      </c>
      <c r="AP120" s="60" t="e">
        <f t="shared" si="134"/>
        <v>#NUM!</v>
      </c>
      <c r="AQ120" s="51" t="e">
        <f t="shared" si="135"/>
        <v>#NUM!</v>
      </c>
      <c r="AR120" s="63" t="e">
        <f t="shared" si="136"/>
        <v>#NUM!</v>
      </c>
      <c r="AS120" s="32" t="str">
        <f t="shared" si="111"/>
        <v>-0.000170731707317073</v>
      </c>
      <c r="AT120" s="32" t="str">
        <f t="shared" si="112"/>
        <v>0.0000250013502897985i</v>
      </c>
      <c r="AU120" s="32">
        <f t="shared" si="137"/>
        <v>2.50013502897985E-5</v>
      </c>
      <c r="AV120" s="32">
        <f t="shared" si="138"/>
        <v>1.5707963267948966</v>
      </c>
      <c r="AW120" s="32" t="str">
        <f t="shared" si="113"/>
        <v>1+0.00532300216973382i</v>
      </c>
      <c r="AX120" s="32">
        <f t="shared" si="139"/>
        <v>1.0000141670756966</v>
      </c>
      <c r="AY120" s="32">
        <f t="shared" si="140"/>
        <v>5.3229518959826017E-3</v>
      </c>
      <c r="AZ120" s="32" t="str">
        <f t="shared" si="114"/>
        <v>1+0.101137041224943i</v>
      </c>
      <c r="BA120" s="32">
        <f t="shared" si="141"/>
        <v>1.0051013387254719</v>
      </c>
      <c r="BB120" s="32">
        <f t="shared" si="142"/>
        <v>0.1007943086821962</v>
      </c>
      <c r="BC120" s="60" t="str">
        <f t="shared" si="143"/>
        <v>-0.654285900122198+6.83238221821824i</v>
      </c>
      <c r="BD120" s="51">
        <f t="shared" si="144"/>
        <v>16.731088342379849</v>
      </c>
      <c r="BE120" s="63">
        <f t="shared" si="145"/>
        <v>95.470105808237705</v>
      </c>
      <c r="BF120" s="60" t="str">
        <f t="shared" si="146"/>
        <v>36.6098127946635+146.341797646925i</v>
      </c>
      <c r="BG120" s="66">
        <f t="shared" si="147"/>
        <v>43.570997445533628</v>
      </c>
      <c r="BH120" s="63">
        <f t="shared" si="148"/>
        <v>75.954779229069302</v>
      </c>
      <c r="BI120" s="60" t="e">
        <f t="shared" si="152"/>
        <v>#NUM!</v>
      </c>
      <c r="BJ120" s="66" t="e">
        <f t="shared" si="149"/>
        <v>#NUM!</v>
      </c>
      <c r="BK120" s="63" t="e">
        <f t="shared" si="153"/>
        <v>#NUM!</v>
      </c>
      <c r="BL120" s="51">
        <f t="shared" si="150"/>
        <v>43.570997445533628</v>
      </c>
      <c r="BM120" s="63">
        <f t="shared" si="151"/>
        <v>75.954779229069302</v>
      </c>
    </row>
    <row r="121" spans="14:65" x14ac:dyDescent="0.3">
      <c r="N121" s="11">
        <v>3</v>
      </c>
      <c r="O121" s="52">
        <f t="shared" si="154"/>
        <v>107.15193052376065</v>
      </c>
      <c r="P121" s="50" t="str">
        <f t="shared" si="103"/>
        <v>23.3035714285714</v>
      </c>
      <c r="Q121" s="18" t="str">
        <f t="shared" si="104"/>
        <v>1+0.360672554733654i</v>
      </c>
      <c r="R121" s="18">
        <f t="shared" si="116"/>
        <v>1.0630544161697937</v>
      </c>
      <c r="S121" s="18">
        <f t="shared" si="117"/>
        <v>0.34615084486022263</v>
      </c>
      <c r="T121" s="18" t="str">
        <f t="shared" si="105"/>
        <v>1+0.000673255435502821i</v>
      </c>
      <c r="U121" s="18">
        <f t="shared" si="118"/>
        <v>1.000000226636415</v>
      </c>
      <c r="V121" s="18">
        <f t="shared" si="119"/>
        <v>6.7325533378003821E-4</v>
      </c>
      <c r="W121" s="32" t="str">
        <f t="shared" si="106"/>
        <v>1-0.0016457355090069i</v>
      </c>
      <c r="X121" s="18">
        <f t="shared" si="120"/>
        <v>1.0000013542217658</v>
      </c>
      <c r="Y121" s="18">
        <f t="shared" si="121"/>
        <v>-1.6457340232144103E-3</v>
      </c>
      <c r="Z121" s="32" t="str">
        <f t="shared" si="107"/>
        <v>0.999999954073855+0.000807721377358622i</v>
      </c>
      <c r="AA121" s="18">
        <f t="shared" si="122"/>
        <v>1.0000002802807284</v>
      </c>
      <c r="AB121" s="18">
        <f t="shared" si="123"/>
        <v>8.0772123879799989E-4</v>
      </c>
      <c r="AC121" s="68" t="str">
        <f t="shared" si="124"/>
        <v>20.607838034399-7.47416663963143i</v>
      </c>
      <c r="AD121" s="66">
        <f t="shared" si="125"/>
        <v>26.817351070446627</v>
      </c>
      <c r="AE121" s="63">
        <f t="shared" si="126"/>
        <v>-19.934980427955704</v>
      </c>
      <c r="AF121" s="51" t="e">
        <f t="shared" si="127"/>
        <v>#NUM!</v>
      </c>
      <c r="AG121" s="51" t="str">
        <f t="shared" si="108"/>
        <v>1-0.504941576627117i</v>
      </c>
      <c r="AH121" s="51">
        <f t="shared" si="128"/>
        <v>1.1202526482033768</v>
      </c>
      <c r="AI121" s="51">
        <f t="shared" si="129"/>
        <v>-0.46759305110784682</v>
      </c>
      <c r="AJ121" s="51" t="str">
        <f t="shared" si="109"/>
        <v>1+0.000673255435502821i</v>
      </c>
      <c r="AK121" s="51">
        <f t="shared" si="130"/>
        <v>1.000000226636415</v>
      </c>
      <c r="AL121" s="51">
        <f t="shared" si="131"/>
        <v>6.7325533378003821E-4</v>
      </c>
      <c r="AM121" s="51" t="e">
        <f t="shared" si="110"/>
        <v>#NUM!</v>
      </c>
      <c r="AN121" s="51" t="e">
        <f t="shared" si="132"/>
        <v>#NUM!</v>
      </c>
      <c r="AO121" s="51" t="e">
        <f t="shared" si="133"/>
        <v>#NUM!</v>
      </c>
      <c r="AP121" s="60" t="e">
        <f t="shared" si="134"/>
        <v>#NUM!</v>
      </c>
      <c r="AQ121" s="51" t="e">
        <f t="shared" si="135"/>
        <v>#NUM!</v>
      </c>
      <c r="AR121" s="63" t="e">
        <f t="shared" si="136"/>
        <v>#NUM!</v>
      </c>
      <c r="AS121" s="32" t="str">
        <f t="shared" si="111"/>
        <v>-0.000170731707317073</v>
      </c>
      <c r="AT121" s="32" t="str">
        <f t="shared" si="112"/>
        <v>0.0000255837065491072i</v>
      </c>
      <c r="AU121" s="32">
        <f t="shared" si="137"/>
        <v>2.5583706549107201E-5</v>
      </c>
      <c r="AV121" s="32">
        <f t="shared" si="138"/>
        <v>1.5707963267948966</v>
      </c>
      <c r="AW121" s="32" t="str">
        <f t="shared" si="113"/>
        <v>1+0.00544699081818387i</v>
      </c>
      <c r="AX121" s="32">
        <f t="shared" si="139"/>
        <v>1.000014834744452</v>
      </c>
      <c r="AY121" s="32">
        <f t="shared" si="140"/>
        <v>5.4469369489320522E-3</v>
      </c>
      <c r="AZ121" s="32" t="str">
        <f t="shared" si="114"/>
        <v>1+0.103492825545494i</v>
      </c>
      <c r="BA121" s="32">
        <f t="shared" si="141"/>
        <v>1.0053411186952368</v>
      </c>
      <c r="BB121" s="32">
        <f t="shared" si="142"/>
        <v>0.10312568630258086</v>
      </c>
      <c r="BC121" s="60" t="str">
        <f t="shared" si="143"/>
        <v>-0.654285026442946+6.67701860812124i</v>
      </c>
      <c r="BD121" s="51">
        <f t="shared" si="144"/>
        <v>16.533154427748237</v>
      </c>
      <c r="BE121" s="63">
        <f t="shared" si="145"/>
        <v>95.596580086080294</v>
      </c>
      <c r="BF121" s="60" t="str">
        <f t="shared" si="146"/>
        <v>36.4217498797494+142.489153346281i</v>
      </c>
      <c r="BG121" s="66">
        <f t="shared" si="147"/>
        <v>43.350505498194863</v>
      </c>
      <c r="BH121" s="63">
        <f t="shared" si="148"/>
        <v>75.661599658124587</v>
      </c>
      <c r="BI121" s="60" t="e">
        <f t="shared" si="152"/>
        <v>#NUM!</v>
      </c>
      <c r="BJ121" s="66" t="e">
        <f t="shared" si="149"/>
        <v>#NUM!</v>
      </c>
      <c r="BK121" s="63" t="e">
        <f t="shared" si="153"/>
        <v>#NUM!</v>
      </c>
      <c r="BL121" s="51">
        <f t="shared" si="150"/>
        <v>43.350505498194863</v>
      </c>
      <c r="BM121" s="63">
        <f t="shared" si="151"/>
        <v>75.661599658124587</v>
      </c>
    </row>
    <row r="122" spans="14:65" x14ac:dyDescent="0.3">
      <c r="N122" s="11">
        <v>4</v>
      </c>
      <c r="O122" s="52">
        <f t="shared" si="154"/>
        <v>109.64781961431861</v>
      </c>
      <c r="P122" s="50" t="str">
        <f t="shared" si="103"/>
        <v>23.3035714285714</v>
      </c>
      <c r="Q122" s="18" t="str">
        <f t="shared" si="104"/>
        <v>1+0.369073697766944i</v>
      </c>
      <c r="R122" s="18">
        <f t="shared" si="116"/>
        <v>1.0659340478581991</v>
      </c>
      <c r="S122" s="18">
        <f t="shared" si="117"/>
        <v>0.3535649122127435</v>
      </c>
      <c r="T122" s="18" t="str">
        <f t="shared" si="105"/>
        <v>1+0.000688937569164964i</v>
      </c>
      <c r="U122" s="18">
        <f t="shared" si="118"/>
        <v>1.000000237317459</v>
      </c>
      <c r="V122" s="18">
        <f t="shared" si="119"/>
        <v>6.8893746016703992E-4</v>
      </c>
      <c r="W122" s="32" t="str">
        <f t="shared" si="106"/>
        <v>1-0.00168406961351436i</v>
      </c>
      <c r="X122" s="18">
        <f t="shared" si="120"/>
        <v>1.000001418044226</v>
      </c>
      <c r="Y122" s="18">
        <f t="shared" si="121"/>
        <v>-1.6840680214591458E-3</v>
      </c>
      <c r="Z122" s="32" t="str">
        <f t="shared" si="107"/>
        <v>0.999999951909423+0.000826535625166436i</v>
      </c>
      <c r="AA122" s="18">
        <f t="shared" si="122"/>
        <v>1.000000293489951</v>
      </c>
      <c r="AB122" s="18">
        <f t="shared" si="123"/>
        <v>8.2653547669605642E-4</v>
      </c>
      <c r="AC122" s="68" t="str">
        <f t="shared" si="124"/>
        <v>20.4960229671448-7.60699434496992i</v>
      </c>
      <c r="AD122" s="66">
        <f t="shared" si="125"/>
        <v>26.793854830811291</v>
      </c>
      <c r="AE122" s="63">
        <f t="shared" si="126"/>
        <v>-20.362151029362643</v>
      </c>
      <c r="AF122" s="51" t="e">
        <f t="shared" si="127"/>
        <v>#NUM!</v>
      </c>
      <c r="AG122" s="51" t="str">
        <f t="shared" si="108"/>
        <v>1-0.516703176873724i</v>
      </c>
      <c r="AH122" s="51">
        <f t="shared" si="128"/>
        <v>1.1256030263780383</v>
      </c>
      <c r="AI122" s="51">
        <f t="shared" si="129"/>
        <v>-0.47692068476451133</v>
      </c>
      <c r="AJ122" s="51" t="str">
        <f t="shared" si="109"/>
        <v>1+0.000688937569164964i</v>
      </c>
      <c r="AK122" s="51">
        <f t="shared" si="130"/>
        <v>1.000000237317459</v>
      </c>
      <c r="AL122" s="51">
        <f t="shared" si="131"/>
        <v>6.8893746016703992E-4</v>
      </c>
      <c r="AM122" s="51" t="e">
        <f t="shared" si="110"/>
        <v>#NUM!</v>
      </c>
      <c r="AN122" s="51" t="e">
        <f t="shared" si="132"/>
        <v>#NUM!</v>
      </c>
      <c r="AO122" s="51" t="e">
        <f t="shared" si="133"/>
        <v>#NUM!</v>
      </c>
      <c r="AP122" s="60" t="e">
        <f t="shared" si="134"/>
        <v>#NUM!</v>
      </c>
      <c r="AQ122" s="51" t="e">
        <f t="shared" si="135"/>
        <v>#NUM!</v>
      </c>
      <c r="AR122" s="63" t="e">
        <f t="shared" si="136"/>
        <v>#NUM!</v>
      </c>
      <c r="AS122" s="32" t="str">
        <f t="shared" si="111"/>
        <v>-0.000170731707317073</v>
      </c>
      <c r="AT122" s="32" t="str">
        <f t="shared" si="112"/>
        <v>0.0000261796276282686i</v>
      </c>
      <c r="AU122" s="32">
        <f t="shared" si="137"/>
        <v>2.6179627628268599E-5</v>
      </c>
      <c r="AV122" s="32">
        <f t="shared" si="138"/>
        <v>1.5707963267948966</v>
      </c>
      <c r="AW122" s="32" t="str">
        <f t="shared" si="113"/>
        <v>1+0.00557386753326516i</v>
      </c>
      <c r="AX122" s="32">
        <f t="shared" si="139"/>
        <v>1.0000155338789884</v>
      </c>
      <c r="AY122" s="32">
        <f t="shared" si="140"/>
        <v>5.573809811370305E-3</v>
      </c>
      <c r="AZ122" s="32" t="str">
        <f t="shared" si="114"/>
        <v>1+0.105903483132038i</v>
      </c>
      <c r="BA122" s="32">
        <f t="shared" si="141"/>
        <v>1.0055921378667885</v>
      </c>
      <c r="BB122" s="32">
        <f t="shared" si="142"/>
        <v>0.10551020440398182</v>
      </c>
      <c r="BC122" s="60" t="str">
        <f t="shared" si="143"/>
        <v>-0.654284111590956+6.52519524122239i</v>
      </c>
      <c r="BD122" s="51">
        <f t="shared" si="144"/>
        <v>16.335316825844721</v>
      </c>
      <c r="BE122" s="63">
        <f t="shared" si="145"/>
        <v>95.725933629910656</v>
      </c>
      <c r="BF122" s="60" t="str">
        <f t="shared" si="146"/>
        <v>36.2269011215972+138.717687066074i</v>
      </c>
      <c r="BG122" s="66">
        <f t="shared" si="147"/>
        <v>43.129171656656013</v>
      </c>
      <c r="BH122" s="63">
        <f t="shared" si="148"/>
        <v>75.363782600548006</v>
      </c>
      <c r="BI122" s="60" t="e">
        <f t="shared" si="152"/>
        <v>#NUM!</v>
      </c>
      <c r="BJ122" s="66" t="e">
        <f t="shared" si="149"/>
        <v>#NUM!</v>
      </c>
      <c r="BK122" s="63" t="e">
        <f t="shared" si="153"/>
        <v>#NUM!</v>
      </c>
      <c r="BL122" s="51">
        <f t="shared" si="150"/>
        <v>43.129171656656013</v>
      </c>
      <c r="BM122" s="63">
        <f t="shared" si="151"/>
        <v>75.363782600548006</v>
      </c>
    </row>
    <row r="123" spans="14:65" x14ac:dyDescent="0.3">
      <c r="N123" s="11">
        <v>5</v>
      </c>
      <c r="O123" s="52">
        <f t="shared" si="154"/>
        <v>112.20184543019634</v>
      </c>
      <c r="P123" s="50" t="str">
        <f t="shared" si="103"/>
        <v>23.3035714285714</v>
      </c>
      <c r="Q123" s="18" t="str">
        <f t="shared" si="104"/>
        <v>1+0.377670528560059i</v>
      </c>
      <c r="R123" s="18">
        <f t="shared" si="116"/>
        <v>1.0689410779565141</v>
      </c>
      <c r="S123" s="18">
        <f t="shared" si="117"/>
        <v>0.36110989751361172</v>
      </c>
      <c r="T123" s="18" t="str">
        <f t="shared" si="105"/>
        <v>1+0.000704984986645445i</v>
      </c>
      <c r="U123" s="18">
        <f t="shared" si="118"/>
        <v>1.0000002485018848</v>
      </c>
      <c r="V123" s="18">
        <f t="shared" si="119"/>
        <v>7.0498486985206665E-4</v>
      </c>
      <c r="W123" s="32" t="str">
        <f t="shared" si="106"/>
        <v>1-0.0017232966340222i</v>
      </c>
      <c r="X123" s="18">
        <f t="shared" si="120"/>
        <v>1.000001484874542</v>
      </c>
      <c r="Y123" s="18">
        <f t="shared" si="121"/>
        <v>-1.7232949281044397E-3</v>
      </c>
      <c r="Z123" s="32" t="str">
        <f t="shared" si="107"/>
        <v>0.999999949642984+0.000845788113103206i</v>
      </c>
      <c r="AA123" s="18">
        <f t="shared" si="122"/>
        <v>1.0000003073217041</v>
      </c>
      <c r="AB123" s="18">
        <f t="shared" si="123"/>
        <v>8.4578795401433072E-4</v>
      </c>
      <c r="AC123" s="68" t="str">
        <f t="shared" si="124"/>
        <v>20.3802242394291-7.74045023864634i</v>
      </c>
      <c r="AD123" s="66">
        <f t="shared" si="125"/>
        <v>26.769386745115536</v>
      </c>
      <c r="AE123" s="63">
        <f t="shared" si="126"/>
        <v>-20.796878016633272</v>
      </c>
      <c r="AF123" s="51" t="e">
        <f t="shared" si="127"/>
        <v>#NUM!</v>
      </c>
      <c r="AG123" s="51" t="str">
        <f t="shared" si="108"/>
        <v>1-0.528738739984085i</v>
      </c>
      <c r="AH123" s="51">
        <f t="shared" si="128"/>
        <v>1.1311784364811583</v>
      </c>
      <c r="AI123" s="51">
        <f t="shared" si="129"/>
        <v>-0.48637339864051965</v>
      </c>
      <c r="AJ123" s="51" t="str">
        <f t="shared" si="109"/>
        <v>1+0.000704984986645445i</v>
      </c>
      <c r="AK123" s="51">
        <f t="shared" si="130"/>
        <v>1.0000002485018848</v>
      </c>
      <c r="AL123" s="51">
        <f t="shared" si="131"/>
        <v>7.0498486985206665E-4</v>
      </c>
      <c r="AM123" s="51" t="e">
        <f t="shared" si="110"/>
        <v>#NUM!</v>
      </c>
      <c r="AN123" s="51" t="e">
        <f t="shared" si="132"/>
        <v>#NUM!</v>
      </c>
      <c r="AO123" s="51" t="e">
        <f t="shared" si="133"/>
        <v>#NUM!</v>
      </c>
      <c r="AP123" s="60" t="e">
        <f t="shared" si="134"/>
        <v>#NUM!</v>
      </c>
      <c r="AQ123" s="51" t="e">
        <f t="shared" si="135"/>
        <v>#NUM!</v>
      </c>
      <c r="AR123" s="63" t="e">
        <f t="shared" si="136"/>
        <v>#NUM!</v>
      </c>
      <c r="AS123" s="32" t="str">
        <f t="shared" si="111"/>
        <v>-0.000170731707317073</v>
      </c>
      <c r="AT123" s="32" t="str">
        <f t="shared" si="112"/>
        <v>0.0000267894294925269i</v>
      </c>
      <c r="AU123" s="32">
        <f t="shared" si="137"/>
        <v>2.6789429492526901E-5</v>
      </c>
      <c r="AV123" s="32">
        <f t="shared" si="138"/>
        <v>1.5707963267948966</v>
      </c>
      <c r="AW123" s="32" t="str">
        <f t="shared" si="113"/>
        <v>1+0.00570369958669146i</v>
      </c>
      <c r="AX123" s="32">
        <f t="shared" si="139"/>
        <v>1.0000162659621967</v>
      </c>
      <c r="AY123" s="32">
        <f t="shared" si="140"/>
        <v>5.7036377366211219E-3</v>
      </c>
      <c r="AZ123" s="32" t="str">
        <f t="shared" si="114"/>
        <v>1+0.108370292147138i</v>
      </c>
      <c r="BA123" s="32">
        <f t="shared" si="141"/>
        <v>1.0058549200655411</v>
      </c>
      <c r="BB123" s="32">
        <f t="shared" si="142"/>
        <v>0.10794901876467494</v>
      </c>
      <c r="BC123" s="60" t="str">
        <f t="shared" si="143"/>
        <v>-0.654283153626068+6.37683161873084i</v>
      </c>
      <c r="BD123" s="51">
        <f t="shared" si="144"/>
        <v>16.137579974749588</v>
      </c>
      <c r="BE123" s="63">
        <f t="shared" si="145"/>
        <v>95.858228807614466</v>
      </c>
      <c r="BF123" s="60" t="str">
        <f t="shared" si="146"/>
        <v>36.0251104380325+135.025704519443i</v>
      </c>
      <c r="BG123" s="66">
        <f t="shared" si="147"/>
        <v>42.906966719865096</v>
      </c>
      <c r="BH123" s="63">
        <f t="shared" si="148"/>
        <v>75.06135079098118</v>
      </c>
      <c r="BI123" s="60" t="e">
        <f t="shared" si="152"/>
        <v>#NUM!</v>
      </c>
      <c r="BJ123" s="66" t="e">
        <f t="shared" si="149"/>
        <v>#NUM!</v>
      </c>
      <c r="BK123" s="63" t="e">
        <f t="shared" si="153"/>
        <v>#NUM!</v>
      </c>
      <c r="BL123" s="51">
        <f t="shared" si="150"/>
        <v>42.906966719865096</v>
      </c>
      <c r="BM123" s="63">
        <f t="shared" si="151"/>
        <v>75.06135079098118</v>
      </c>
    </row>
    <row r="124" spans="14:65" x14ac:dyDescent="0.3">
      <c r="N124" s="11">
        <v>6</v>
      </c>
      <c r="O124" s="52">
        <f t="shared" si="154"/>
        <v>114.81536214968835</v>
      </c>
      <c r="P124" s="50" t="str">
        <f t="shared" si="103"/>
        <v>23.3035714285714</v>
      </c>
      <c r="Q124" s="18" t="str">
        <f t="shared" si="104"/>
        <v>1+0.386467605266477i</v>
      </c>
      <c r="R124" s="18">
        <f t="shared" si="116"/>
        <v>1.0720807851651877</v>
      </c>
      <c r="S124" s="18">
        <f t="shared" si="117"/>
        <v>0.36878636412334254</v>
      </c>
      <c r="T124" s="18" t="str">
        <f t="shared" si="105"/>
        <v>1+0.000721406196497425i</v>
      </c>
      <c r="U124" s="18">
        <f t="shared" si="118"/>
        <v>1.0000002602134164</v>
      </c>
      <c r="V124" s="18">
        <f t="shared" si="119"/>
        <v>7.2140607135106716E-4</v>
      </c>
      <c r="W124" s="32" t="str">
        <f t="shared" si="106"/>
        <v>1-0.00176343736921593i</v>
      </c>
      <c r="X124" s="18">
        <f t="shared" si="120"/>
        <v>1.0000015548544687</v>
      </c>
      <c r="Y124" s="18">
        <f t="shared" si="121"/>
        <v>-1.7634355412922702E-3</v>
      </c>
      <c r="Z124" s="32" t="str">
        <f t="shared" si="107"/>
        <v>0.99999994726973+0.000865489049092873i</v>
      </c>
      <c r="AA124" s="18">
        <f t="shared" si="122"/>
        <v>1.0000003218053268</v>
      </c>
      <c r="AB124" s="18">
        <f t="shared" si="123"/>
        <v>8.6548887862607563E-4</v>
      </c>
      <c r="AC124" s="68" t="str">
        <f t="shared" si="124"/>
        <v>20.2603545355545-7.8744227287138i</v>
      </c>
      <c r="AD124" s="66">
        <f t="shared" si="125"/>
        <v>26.743912418665559</v>
      </c>
      <c r="AE124" s="63">
        <f t="shared" si="126"/>
        <v>-21.239194956959015</v>
      </c>
      <c r="AF124" s="51" t="e">
        <f t="shared" si="127"/>
        <v>#NUM!</v>
      </c>
      <c r="AG124" s="51" t="str">
        <f t="shared" si="108"/>
        <v>1-0.54105464737307i</v>
      </c>
      <c r="AH124" s="51">
        <f t="shared" si="128"/>
        <v>1.1369873048737162</v>
      </c>
      <c r="AI124" s="51">
        <f t="shared" si="129"/>
        <v>-0.49594944674084901</v>
      </c>
      <c r="AJ124" s="51" t="str">
        <f t="shared" si="109"/>
        <v>1+0.000721406196497425i</v>
      </c>
      <c r="AK124" s="51">
        <f t="shared" si="130"/>
        <v>1.0000002602134164</v>
      </c>
      <c r="AL124" s="51">
        <f t="shared" si="131"/>
        <v>7.2140607135106716E-4</v>
      </c>
      <c r="AM124" s="51" t="e">
        <f t="shared" si="110"/>
        <v>#NUM!</v>
      </c>
      <c r="AN124" s="51" t="e">
        <f t="shared" si="132"/>
        <v>#NUM!</v>
      </c>
      <c r="AO124" s="51" t="e">
        <f t="shared" si="133"/>
        <v>#NUM!</v>
      </c>
      <c r="AP124" s="60" t="e">
        <f t="shared" si="134"/>
        <v>#NUM!</v>
      </c>
      <c r="AQ124" s="51" t="e">
        <f t="shared" si="135"/>
        <v>#NUM!</v>
      </c>
      <c r="AR124" s="63" t="e">
        <f t="shared" si="136"/>
        <v>#NUM!</v>
      </c>
      <c r="AS124" s="32" t="str">
        <f t="shared" si="111"/>
        <v>-0.000170731707317073</v>
      </c>
      <c r="AT124" s="32" t="str">
        <f t="shared" si="112"/>
        <v>0.0000274134354669022i</v>
      </c>
      <c r="AU124" s="32">
        <f t="shared" si="137"/>
        <v>2.7413435466902199E-5</v>
      </c>
      <c r="AV124" s="32">
        <f t="shared" si="138"/>
        <v>1.5707963267948966</v>
      </c>
      <c r="AW124" s="32" t="str">
        <f t="shared" si="113"/>
        <v>1+0.005836555817136i</v>
      </c>
      <c r="AX124" s="32">
        <f t="shared" si="139"/>
        <v>1.0000170325468494</v>
      </c>
      <c r="AY124" s="32">
        <f t="shared" si="140"/>
        <v>5.8364895436525668E-3</v>
      </c>
      <c r="AZ124" s="32" t="str">
        <f t="shared" si="114"/>
        <v>1+0.110894560525584i</v>
      </c>
      <c r="BA124" s="32">
        <f t="shared" si="141"/>
        <v>1.0061300132458839</v>
      </c>
      <c r="BB124" s="32">
        <f t="shared" si="142"/>
        <v>0.11044330636815743</v>
      </c>
      <c r="BC124" s="60" t="str">
        <f t="shared" si="143"/>
        <v>-0.654282150516686+6.23184907625575i</v>
      </c>
      <c r="BD124" s="51">
        <f t="shared" si="144"/>
        <v>15.939948512129012</v>
      </c>
      <c r="BE124" s="63">
        <f t="shared" si="145"/>
        <v>95.993529112342216</v>
      </c>
      <c r="BF124" s="60" t="str">
        <f t="shared" si="146"/>
        <v>35.8162256722293+131.41156593403i</v>
      </c>
      <c r="BG124" s="66">
        <f t="shared" si="147"/>
        <v>42.683860930794594</v>
      </c>
      <c r="BH124" s="63">
        <f t="shared" si="148"/>
        <v>74.754334155383233</v>
      </c>
      <c r="BI124" s="60" t="e">
        <f t="shared" si="152"/>
        <v>#NUM!</v>
      </c>
      <c r="BJ124" s="66" t="e">
        <f t="shared" si="149"/>
        <v>#NUM!</v>
      </c>
      <c r="BK124" s="63" t="e">
        <f t="shared" si="153"/>
        <v>#NUM!</v>
      </c>
      <c r="BL124" s="51">
        <f t="shared" si="150"/>
        <v>42.683860930794594</v>
      </c>
      <c r="BM124" s="63">
        <f t="shared" si="151"/>
        <v>74.754334155383233</v>
      </c>
    </row>
    <row r="125" spans="14:65" x14ac:dyDescent="0.3">
      <c r="N125" s="11">
        <v>7</v>
      </c>
      <c r="O125" s="52">
        <f t="shared" si="154"/>
        <v>117.48975549395293</v>
      </c>
      <c r="P125" s="50" t="str">
        <f t="shared" si="103"/>
        <v>23.3035714285714</v>
      </c>
      <c r="Q125" s="18" t="str">
        <f t="shared" si="104"/>
        <v>1+0.39546959221271i</v>
      </c>
      <c r="R125" s="18">
        <f t="shared" si="116"/>
        <v>1.0753586370903836</v>
      </c>
      <c r="S125" s="18">
        <f t="shared" si="117"/>
        <v>0.37659476231483069</v>
      </c>
      <c r="T125" s="18" t="str">
        <f t="shared" si="105"/>
        <v>1+0.000738209905463727i</v>
      </c>
      <c r="U125" s="18">
        <f t="shared" si="118"/>
        <v>1.000000272476895</v>
      </c>
      <c r="V125" s="18">
        <f t="shared" si="119"/>
        <v>7.3820977136699055E-4</v>
      </c>
      <c r="W125" s="32" t="str">
        <f t="shared" si="106"/>
        <v>1-0.00180451310224467i</v>
      </c>
      <c r="X125" s="18">
        <f t="shared" si="120"/>
        <v>1.0000016281324426</v>
      </c>
      <c r="Y125" s="18">
        <f t="shared" si="121"/>
        <v>-1.8045111435893522E-3</v>
      </c>
      <c r="Z125" s="32" t="str">
        <f t="shared" si="107"/>
        <v>0.999999944784629+0.00088564887883247i</v>
      </c>
      <c r="AA125" s="18">
        <f t="shared" si="122"/>
        <v>1.000000336971542</v>
      </c>
      <c r="AB125" s="18">
        <f t="shared" si="123"/>
        <v>8.856486961740089E-4</v>
      </c>
      <c r="AC125" s="68" t="str">
        <f t="shared" si="124"/>
        <v>20.136329228576-8.00879335877018i</v>
      </c>
      <c r="AD125" s="66">
        <f t="shared" si="125"/>
        <v>26.717396722292051</v>
      </c>
      <c r="AE125" s="63">
        <f t="shared" si="126"/>
        <v>-21.689128968111618</v>
      </c>
      <c r="AF125" s="51" t="e">
        <f t="shared" si="127"/>
        <v>#NUM!</v>
      </c>
      <c r="AG125" s="51" t="str">
        <f t="shared" si="108"/>
        <v>1-0.553657429097797i</v>
      </c>
      <c r="AH125" s="51">
        <f t="shared" si="128"/>
        <v>1.1430382971690765</v>
      </c>
      <c r="AI125" s="51">
        <f t="shared" si="129"/>
        <v>-0.50564688055707818</v>
      </c>
      <c r="AJ125" s="51" t="str">
        <f t="shared" si="109"/>
        <v>1+0.000738209905463727i</v>
      </c>
      <c r="AK125" s="51">
        <f t="shared" si="130"/>
        <v>1.000000272476895</v>
      </c>
      <c r="AL125" s="51">
        <f t="shared" si="131"/>
        <v>7.3820977136699055E-4</v>
      </c>
      <c r="AM125" s="51" t="e">
        <f t="shared" si="110"/>
        <v>#NUM!</v>
      </c>
      <c r="AN125" s="51" t="e">
        <f t="shared" si="132"/>
        <v>#NUM!</v>
      </c>
      <c r="AO125" s="51" t="e">
        <f t="shared" si="133"/>
        <v>#NUM!</v>
      </c>
      <c r="AP125" s="60" t="e">
        <f t="shared" si="134"/>
        <v>#NUM!</v>
      </c>
      <c r="AQ125" s="51" t="e">
        <f t="shared" si="135"/>
        <v>#NUM!</v>
      </c>
      <c r="AR125" s="63" t="e">
        <f t="shared" si="136"/>
        <v>#NUM!</v>
      </c>
      <c r="AS125" s="32" t="str">
        <f t="shared" si="111"/>
        <v>-0.000170731707317073</v>
      </c>
      <c r="AT125" s="32" t="str">
        <f t="shared" si="112"/>
        <v>0.0000280519764076216i</v>
      </c>
      <c r="AU125" s="32">
        <f t="shared" si="137"/>
        <v>2.8051976407621602E-5</v>
      </c>
      <c r="AV125" s="32">
        <f t="shared" si="138"/>
        <v>1.5707963267948966</v>
      </c>
      <c r="AW125" s="32" t="str">
        <f t="shared" si="113"/>
        <v>1+0.00597250666673073i</v>
      </c>
      <c r="AX125" s="32">
        <f t="shared" si="139"/>
        <v>1.0000178352588938</v>
      </c>
      <c r="AY125" s="32">
        <f t="shared" si="140"/>
        <v>5.9724356534822101E-3</v>
      </c>
      <c r="AZ125" s="32" t="str">
        <f t="shared" si="114"/>
        <v>1+0.113477626667884i</v>
      </c>
      <c r="BA125" s="32">
        <f t="shared" si="141"/>
        <v>1.0064179905755737</v>
      </c>
      <c r="BB125" s="32">
        <f t="shared" si="142"/>
        <v>0.11299426550618025</v>
      </c>
      <c r="BC125" s="60" t="str">
        <f t="shared" si="143"/>
        <v>-0.654281100135519+6.09017074209722i</v>
      </c>
      <c r="BD125" s="51">
        <f t="shared" si="144"/>
        <v>15.742427283742288</v>
      </c>
      <c r="BE125" s="63">
        <f t="shared" si="145"/>
        <v>96.131899166326789</v>
      </c>
      <c r="BF125" s="60" t="str">
        <f t="shared" si="146"/>
        <v>35.600099352721+127.873685250645i</v>
      </c>
      <c r="BG125" s="66">
        <f t="shared" si="147"/>
        <v>42.459824006034353</v>
      </c>
      <c r="BH125" s="63">
        <f t="shared" si="148"/>
        <v>74.4427701982152</v>
      </c>
      <c r="BI125" s="60" t="e">
        <f t="shared" si="152"/>
        <v>#NUM!</v>
      </c>
      <c r="BJ125" s="66" t="e">
        <f t="shared" si="149"/>
        <v>#NUM!</v>
      </c>
      <c r="BK125" s="63" t="e">
        <f t="shared" si="153"/>
        <v>#NUM!</v>
      </c>
      <c r="BL125" s="51">
        <f t="shared" si="150"/>
        <v>42.459824006034353</v>
      </c>
      <c r="BM125" s="63">
        <f t="shared" si="151"/>
        <v>74.4427701982152</v>
      </c>
    </row>
    <row r="126" spans="14:65" x14ac:dyDescent="0.3">
      <c r="N126" s="11">
        <v>8</v>
      </c>
      <c r="O126" s="52">
        <f t="shared" si="154"/>
        <v>120.22644346174135</v>
      </c>
      <c r="P126" s="50" t="str">
        <f t="shared" si="103"/>
        <v>23.3035714285714</v>
      </c>
      <c r="Q126" s="18" t="str">
        <f t="shared" si="104"/>
        <v>1+0.404681262371394i</v>
      </c>
      <c r="R126" s="18">
        <f t="shared" si="116"/>
        <v>1.0787802946450704</v>
      </c>
      <c r="S126" s="18">
        <f t="shared" si="117"/>
        <v>0.38453542248592826</v>
      </c>
      <c r="T126" s="18" t="str">
        <f t="shared" si="105"/>
        <v>1+0.000755405023093271i</v>
      </c>
      <c r="U126" s="18">
        <f t="shared" si="118"/>
        <v>1.0000002853183338</v>
      </c>
      <c r="V126" s="18">
        <f t="shared" si="119"/>
        <v>7.5540487940603139E-4</v>
      </c>
      <c r="W126" s="32" t="str">
        <f t="shared" si="106"/>
        <v>1-0.00184654561200577i</v>
      </c>
      <c r="X126" s="18">
        <f t="shared" si="120"/>
        <v>1.0000017048638954</v>
      </c>
      <c r="Y126" s="18">
        <f t="shared" si="121"/>
        <v>-1.8465435132689781E-3</v>
      </c>
      <c r="Z126" s="32" t="str">
        <f t="shared" si="107"/>
        <v>0.999999942182409+0.000906278291330574i</v>
      </c>
      <c r="AA126" s="18">
        <f t="shared" si="122"/>
        <v>1.0000003528525192</v>
      </c>
      <c r="AB126" s="18">
        <f t="shared" si="123"/>
        <v>9.0627809560851009E-4</v>
      </c>
      <c r="AC126" s="68" t="str">
        <f t="shared" si="124"/>
        <v>20.0080668394072-8.14343673487184i</v>
      </c>
      <c r="AD126" s="66">
        <f t="shared" si="125"/>
        <v>26.689803817259524</v>
      </c>
      <c r="AE126" s="63">
        <f t="shared" si="126"/>
        <v>-22.146700330251207</v>
      </c>
      <c r="AF126" s="51" t="e">
        <f t="shared" si="127"/>
        <v>#NUM!</v>
      </c>
      <c r="AG126" s="51" t="str">
        <f t="shared" si="108"/>
        <v>1-0.566553767319955i</v>
      </c>
      <c r="AH126" s="51">
        <f t="shared" si="128"/>
        <v>1.149340320037731</v>
      </c>
      <c r="AI126" s="51">
        <f t="shared" si="129"/>
        <v>-0.51546354544671513</v>
      </c>
      <c r="AJ126" s="51" t="str">
        <f t="shared" si="109"/>
        <v>1+0.000755405023093271i</v>
      </c>
      <c r="AK126" s="51">
        <f t="shared" si="130"/>
        <v>1.0000002853183338</v>
      </c>
      <c r="AL126" s="51">
        <f t="shared" si="131"/>
        <v>7.5540487940603139E-4</v>
      </c>
      <c r="AM126" s="51" t="e">
        <f t="shared" si="110"/>
        <v>#NUM!</v>
      </c>
      <c r="AN126" s="51" t="e">
        <f t="shared" si="132"/>
        <v>#NUM!</v>
      </c>
      <c r="AO126" s="51" t="e">
        <f t="shared" si="133"/>
        <v>#NUM!</v>
      </c>
      <c r="AP126" s="60" t="e">
        <f t="shared" si="134"/>
        <v>#NUM!</v>
      </c>
      <c r="AQ126" s="51" t="e">
        <f t="shared" si="135"/>
        <v>#NUM!</v>
      </c>
      <c r="AR126" s="63" t="e">
        <f t="shared" si="136"/>
        <v>#NUM!</v>
      </c>
      <c r="AS126" s="32" t="str">
        <f t="shared" si="111"/>
        <v>-0.000170731707317073</v>
      </c>
      <c r="AT126" s="32" t="str">
        <f t="shared" si="112"/>
        <v>0.0000287053908775443i</v>
      </c>
      <c r="AU126" s="32">
        <f t="shared" si="137"/>
        <v>2.8705390877544301E-5</v>
      </c>
      <c r="AV126" s="32">
        <f t="shared" si="138"/>
        <v>1.5707963267948966</v>
      </c>
      <c r="AW126" s="32" t="str">
        <f t="shared" si="113"/>
        <v>1+0.00611162421841566i</v>
      </c>
      <c r="AX126" s="32">
        <f t="shared" si="139"/>
        <v>1.0000186758009009</v>
      </c>
      <c r="AY126" s="32">
        <f t="shared" si="140"/>
        <v>6.1115481264256925E-3</v>
      </c>
      <c r="AZ126" s="32" t="str">
        <f t="shared" si="114"/>
        <v>1+0.116120860149898i</v>
      </c>
      <c r="BA126" s="32">
        <f t="shared" si="141"/>
        <v>1.0067194515663</v>
      </c>
      <c r="BB126" s="32">
        <f t="shared" si="142"/>
        <v>0.11560311585833584</v>
      </c>
      <c r="BC126" s="60" t="str">
        <f t="shared" si="143"/>
        <v>-0.654280000255027+5.9517214964876i</v>
      </c>
      <c r="BD126" s="51">
        <f t="shared" si="144"/>
        <v>15.545021352266652</v>
      </c>
      <c r="BE126" s="63">
        <f t="shared" si="145"/>
        <v>96.273404723309241</v>
      </c>
      <c r="BF126" s="60" t="str">
        <f t="shared" si="146"/>
        <v>35.3765894934336+124.410529300229i</v>
      </c>
      <c r="BG126" s="66">
        <f t="shared" si="147"/>
        <v>42.234825169526154</v>
      </c>
      <c r="BH126" s="63">
        <f t="shared" si="148"/>
        <v>74.12670439305802</v>
      </c>
      <c r="BI126" s="60" t="e">
        <f t="shared" si="152"/>
        <v>#NUM!</v>
      </c>
      <c r="BJ126" s="66" t="e">
        <f t="shared" si="149"/>
        <v>#NUM!</v>
      </c>
      <c r="BK126" s="63" t="e">
        <f t="shared" si="153"/>
        <v>#NUM!</v>
      </c>
      <c r="BL126" s="51">
        <f t="shared" si="150"/>
        <v>42.234825169526154</v>
      </c>
      <c r="BM126" s="63">
        <f t="shared" si="151"/>
        <v>74.12670439305802</v>
      </c>
    </row>
    <row r="127" spans="14:65" x14ac:dyDescent="0.3">
      <c r="N127" s="11">
        <v>9</v>
      </c>
      <c r="O127" s="52">
        <f t="shared" si="154"/>
        <v>123.02687708123821</v>
      </c>
      <c r="P127" s="50" t="str">
        <f t="shared" si="103"/>
        <v>23.3035714285714</v>
      </c>
      <c r="Q127" s="18" t="str">
        <f t="shared" si="104"/>
        <v>1+0.414107499891977i</v>
      </c>
      <c r="R127" s="18">
        <f t="shared" si="116"/>
        <v>1.0823516163737106</v>
      </c>
      <c r="S127" s="18">
        <f t="shared" si="117"/>
        <v>0.39260854831370967</v>
      </c>
      <c r="T127" s="18" t="str">
        <f t="shared" si="105"/>
        <v>1+0.000773000666465025i</v>
      </c>
      <c r="U127" s="18">
        <f t="shared" si="118"/>
        <v>1.0000002987649705</v>
      </c>
      <c r="V127" s="18">
        <f t="shared" si="119"/>
        <v>7.7300051250137633E-4</v>
      </c>
      <c r="W127" s="32" t="str">
        <f t="shared" si="106"/>
        <v>1-0.00188955718469228i</v>
      </c>
      <c r="X127" s="18">
        <f t="shared" si="120"/>
        <v>1.0000017852115837</v>
      </c>
      <c r="Y127" s="18">
        <f t="shared" si="121"/>
        <v>-1.8895549358555076E-3</v>
      </c>
      <c r="Z127" s="32" t="str">
        <f t="shared" si="107"/>
        <v>0.99999993945755+0.000927388224574752i</v>
      </c>
      <c r="AA127" s="18">
        <f t="shared" si="122"/>
        <v>1.000000369481943</v>
      </c>
      <c r="AB127" s="18">
        <f t="shared" si="123"/>
        <v>9.2738801485478615E-4</v>
      </c>
      <c r="AC127" s="68" t="str">
        <f t="shared" si="124"/>
        <v>19.8754895179399-8.27822048050649i</v>
      </c>
      <c r="AD127" s="66">
        <f t="shared" si="125"/>
        <v>26.661097184191654</v>
      </c>
      <c r="AE127" s="63">
        <f t="shared" si="126"/>
        <v>-22.611922094410666</v>
      </c>
      <c r="AF127" s="51" t="e">
        <f t="shared" si="127"/>
        <v>#NUM!</v>
      </c>
      <c r="AG127" s="51" t="str">
        <f t="shared" si="108"/>
        <v>1-0.57975049984877i</v>
      </c>
      <c r="AH127" s="51">
        <f t="shared" si="128"/>
        <v>1.1559025227392226</v>
      </c>
      <c r="AI127" s="51">
        <f t="shared" si="129"/>
        <v>-0.52539707762224097</v>
      </c>
      <c r="AJ127" s="51" t="str">
        <f t="shared" si="109"/>
        <v>1+0.000773000666465025i</v>
      </c>
      <c r="AK127" s="51">
        <f t="shared" si="130"/>
        <v>1.0000002987649705</v>
      </c>
      <c r="AL127" s="51">
        <f t="shared" si="131"/>
        <v>7.7300051250137633E-4</v>
      </c>
      <c r="AM127" s="51" t="e">
        <f t="shared" si="110"/>
        <v>#NUM!</v>
      </c>
      <c r="AN127" s="51" t="e">
        <f t="shared" si="132"/>
        <v>#NUM!</v>
      </c>
      <c r="AO127" s="51" t="e">
        <f t="shared" si="133"/>
        <v>#NUM!</v>
      </c>
      <c r="AP127" s="60" t="e">
        <f t="shared" si="134"/>
        <v>#NUM!</v>
      </c>
      <c r="AQ127" s="51" t="e">
        <f t="shared" si="135"/>
        <v>#NUM!</v>
      </c>
      <c r="AR127" s="63" t="e">
        <f t="shared" si="136"/>
        <v>#NUM!</v>
      </c>
      <c r="AS127" s="32" t="str">
        <f t="shared" si="111"/>
        <v>-0.000170731707317073</v>
      </c>
      <c r="AT127" s="32" t="str">
        <f t="shared" si="112"/>
        <v>0.0000293740253256709i</v>
      </c>
      <c r="AU127" s="32">
        <f t="shared" si="137"/>
        <v>2.9374025325670899E-5</v>
      </c>
      <c r="AV127" s="32">
        <f t="shared" si="138"/>
        <v>1.5707963267948966</v>
      </c>
      <c r="AW127" s="32" t="str">
        <f t="shared" si="113"/>
        <v>1+0.00625398223415808i</v>
      </c>
      <c r="AX127" s="32">
        <f t="shared" si="139"/>
        <v>1.0000195559556748</v>
      </c>
      <c r="AY127" s="32">
        <f t="shared" si="140"/>
        <v>6.2539007002079695E-3</v>
      </c>
      <c r="AZ127" s="32" t="str">
        <f t="shared" si="114"/>
        <v>1+0.118825662449004i</v>
      </c>
      <c r="BA127" s="32">
        <f t="shared" si="141"/>
        <v>1.0070350232521432</v>
      </c>
      <c r="BB127" s="32">
        <f t="shared" si="142"/>
        <v>0.1182710985460682</v>
      </c>
      <c r="BC127" s="60" t="str">
        <f t="shared" si="143"/>
        <v>-0.654278848542725+5.81642793176206i</v>
      </c>
      <c r="BD127" s="51">
        <f t="shared" si="144"/>
        <v>15.347736006447892</v>
      </c>
      <c r="BE127" s="63">
        <f t="shared" si="145"/>
        <v>96.418112669449727</v>
      </c>
      <c r="BF127" s="60" t="str">
        <f t="shared" si="146"/>
        <v>35.145560432082+121.020616953558i</v>
      </c>
      <c r="BG127" s="66">
        <f t="shared" si="147"/>
        <v>42.008833190639535</v>
      </c>
      <c r="BH127" s="63">
        <f t="shared" si="148"/>
        <v>73.806190575039025</v>
      </c>
      <c r="BI127" s="60" t="e">
        <f t="shared" si="152"/>
        <v>#NUM!</v>
      </c>
      <c r="BJ127" s="66" t="e">
        <f t="shared" si="149"/>
        <v>#NUM!</v>
      </c>
      <c r="BK127" s="63" t="e">
        <f t="shared" si="153"/>
        <v>#NUM!</v>
      </c>
      <c r="BL127" s="51">
        <f t="shared" si="150"/>
        <v>42.008833190639535</v>
      </c>
      <c r="BM127" s="63">
        <f t="shared" si="151"/>
        <v>73.806190575039025</v>
      </c>
    </row>
    <row r="128" spans="14:65" x14ac:dyDescent="0.3">
      <c r="N128" s="11">
        <v>10</v>
      </c>
      <c r="O128" s="52">
        <f t="shared" si="154"/>
        <v>125.89254117941677</v>
      </c>
      <c r="P128" s="50" t="str">
        <f t="shared" si="103"/>
        <v>23.3035714285714</v>
      </c>
      <c r="Q128" s="18" t="str">
        <f t="shared" si="104"/>
        <v>1+0.423753302690363i</v>
      </c>
      <c r="R128" s="18">
        <f t="shared" si="116"/>
        <v>1.0860786626856227</v>
      </c>
      <c r="S128" s="18">
        <f t="shared" si="117"/>
        <v>0.40081420987947552</v>
      </c>
      <c r="T128" s="18" t="str">
        <f t="shared" si="105"/>
        <v>1+0.000791006165022012i</v>
      </c>
      <c r="U128" s="18">
        <f t="shared" si="118"/>
        <v>1.0000003128453276</v>
      </c>
      <c r="V128" s="18">
        <f t="shared" si="119"/>
        <v>7.9100600004699292E-4</v>
      </c>
      <c r="W128" s="32" t="str">
        <f t="shared" si="106"/>
        <v>1-0.00193357062560936i</v>
      </c>
      <c r="X128" s="18">
        <f t="shared" si="120"/>
        <v>1.0000018693459349</v>
      </c>
      <c r="Y128" s="18">
        <f t="shared" si="121"/>
        <v>-1.9335682159375873E-3</v>
      </c>
      <c r="Z128" s="32" t="str">
        <f t="shared" si="107"/>
        <v>0.999999936604272+0.000948989871331033i</v>
      </c>
      <c r="AA128" s="18">
        <f t="shared" si="122"/>
        <v>1.0000003868950871</v>
      </c>
      <c r="AB128" s="18">
        <f t="shared" si="123"/>
        <v>9.4898964661204572E-4</v>
      </c>
      <c r="AC128" s="68" t="str">
        <f t="shared" si="124"/>
        <v>19.7385235449132-8.41300522257993i</v>
      </c>
      <c r="AD128" s="66">
        <f t="shared" si="125"/>
        <v>26.631239656195241</v>
      </c>
      <c r="AE128" s="63">
        <f t="shared" si="126"/>
        <v>-23.08479968931881</v>
      </c>
      <c r="AF128" s="51" t="e">
        <f t="shared" si="127"/>
        <v>#NUM!</v>
      </c>
      <c r="AG128" s="51" t="str">
        <f t="shared" si="108"/>
        <v>1-0.593254623766511i</v>
      </c>
      <c r="AH128" s="51">
        <f t="shared" si="128"/>
        <v>1.1627342983761786</v>
      </c>
      <c r="AI128" s="51">
        <f t="shared" si="129"/>
        <v>-0.53544490180398008</v>
      </c>
      <c r="AJ128" s="51" t="str">
        <f t="shared" si="109"/>
        <v>1+0.000791006165022012i</v>
      </c>
      <c r="AK128" s="51">
        <f t="shared" si="130"/>
        <v>1.0000003128453276</v>
      </c>
      <c r="AL128" s="51">
        <f t="shared" si="131"/>
        <v>7.9100600004699292E-4</v>
      </c>
      <c r="AM128" s="51" t="e">
        <f t="shared" si="110"/>
        <v>#NUM!</v>
      </c>
      <c r="AN128" s="51" t="e">
        <f t="shared" si="132"/>
        <v>#NUM!</v>
      </c>
      <c r="AO128" s="51" t="e">
        <f t="shared" si="133"/>
        <v>#NUM!</v>
      </c>
      <c r="AP128" s="60" t="e">
        <f t="shared" si="134"/>
        <v>#NUM!</v>
      </c>
      <c r="AQ128" s="51" t="e">
        <f t="shared" si="135"/>
        <v>#NUM!</v>
      </c>
      <c r="AR128" s="63" t="e">
        <f t="shared" si="136"/>
        <v>#NUM!</v>
      </c>
      <c r="AS128" s="32" t="str">
        <f t="shared" si="111"/>
        <v>-0.000170731707317073</v>
      </c>
      <c r="AT128" s="32" t="str">
        <f t="shared" si="112"/>
        <v>0.0000300582342708365i</v>
      </c>
      <c r="AU128" s="32">
        <f t="shared" si="137"/>
        <v>3.0058234270836501E-5</v>
      </c>
      <c r="AV128" s="32">
        <f t="shared" si="138"/>
        <v>1.5707963267948966</v>
      </c>
      <c r="AW128" s="32" t="str">
        <f t="shared" si="113"/>
        <v>1+0.00639965619406229i</v>
      </c>
      <c r="AX128" s="32">
        <f t="shared" si="139"/>
        <v>1.0000204775900352</v>
      </c>
      <c r="AY128" s="32">
        <f t="shared" si="140"/>
        <v>6.3995688289573355E-3</v>
      </c>
      <c r="AZ128" s="32" t="str">
        <f t="shared" si="114"/>
        <v>1+0.121593467687184i</v>
      </c>
      <c r="BA128" s="32">
        <f t="shared" si="141"/>
        <v>1.0073653614176905</v>
      </c>
      <c r="BB128" s="32">
        <f t="shared" si="142"/>
        <v>0.12099947615882733</v>
      </c>
      <c r="BC128" s="60" t="str">
        <f t="shared" si="143"/>
        <v>-0.654277642556238+5.68421831343637i</v>
      </c>
      <c r="BD128" s="51">
        <f t="shared" si="144"/>
        <v>15.150576770582598</v>
      </c>
      <c r="BE128" s="63">
        <f t="shared" si="145"/>
        <v>96.566091022591891</v>
      </c>
      <c r="BF128" s="60" t="str">
        <f t="shared" si="146"/>
        <v>34.9068837047181+117.702518238034i</v>
      </c>
      <c r="BG128" s="66">
        <f t="shared" si="147"/>
        <v>41.78181642677788</v>
      </c>
      <c r="BH128" s="63">
        <f t="shared" si="148"/>
        <v>73.48129133327312</v>
      </c>
      <c r="BI128" s="60" t="e">
        <f t="shared" si="152"/>
        <v>#NUM!</v>
      </c>
      <c r="BJ128" s="66" t="e">
        <f t="shared" si="149"/>
        <v>#NUM!</v>
      </c>
      <c r="BK128" s="63" t="e">
        <f t="shared" si="153"/>
        <v>#NUM!</v>
      </c>
      <c r="BL128" s="51">
        <f t="shared" si="150"/>
        <v>41.78181642677788</v>
      </c>
      <c r="BM128" s="63">
        <f t="shared" si="151"/>
        <v>73.48129133327312</v>
      </c>
    </row>
    <row r="129" spans="14:65" x14ac:dyDescent="0.3">
      <c r="N129" s="11">
        <v>11</v>
      </c>
      <c r="O129" s="52">
        <f t="shared" si="154"/>
        <v>128.82495516931343</v>
      </c>
      <c r="P129" s="50" t="str">
        <f t="shared" si="103"/>
        <v>23.3035714285714</v>
      </c>
      <c r="Q129" s="18" t="str">
        <f t="shared" si="104"/>
        <v>1+0.433623785098874i</v>
      </c>
      <c r="R129" s="18">
        <f t="shared" si="116"/>
        <v>1.0899676999817354</v>
      </c>
      <c r="S129" s="18">
        <f t="shared" si="117"/>
        <v>0.40915233679644503</v>
      </c>
      <c r="T129" s="18" t="str">
        <f t="shared" si="105"/>
        <v>1+0.000809431065517899i</v>
      </c>
      <c r="U129" s="18">
        <f t="shared" si="118"/>
        <v>1.0000003275892713</v>
      </c>
      <c r="V129" s="18">
        <f t="shared" si="119"/>
        <v>8.0943088874398431E-4</v>
      </c>
      <c r="W129" s="32" t="str">
        <f t="shared" si="106"/>
        <v>1-0.00197860927126598i</v>
      </c>
      <c r="X129" s="18">
        <f t="shared" si="120"/>
        <v>1.0000019574454084</v>
      </c>
      <c r="Y129" s="18">
        <f t="shared" si="121"/>
        <v>-1.9786066892564292E-3</v>
      </c>
      <c r="Z129" s="32" t="str">
        <f t="shared" si="107"/>
        <v>0.999999933616524+0.000971094685078461i</v>
      </c>
      <c r="AA129" s="18">
        <f t="shared" si="122"/>
        <v>1.0000004051288878</v>
      </c>
      <c r="AB129" s="18">
        <f t="shared" si="123"/>
        <v>9.7109444428773273E-4</v>
      </c>
      <c r="AC129" s="68" t="str">
        <f t="shared" si="124"/>
        <v>19.5970998529362-8.54764461140068i</v>
      </c>
      <c r="AD129" s="66">
        <f t="shared" si="125"/>
        <v>26.600193456353267</v>
      </c>
      <c r="AE129" s="63">
        <f t="shared" si="126"/>
        <v>-23.565330528396018</v>
      </c>
      <c r="AF129" s="51" t="e">
        <f t="shared" si="127"/>
        <v>#NUM!</v>
      </c>
      <c r="AG129" s="51" t="str">
        <f t="shared" si="108"/>
        <v>1-0.607073299138426i</v>
      </c>
      <c r="AH129" s="51">
        <f t="shared" si="128"/>
        <v>1.1698452848675387</v>
      </c>
      <c r="AI129" s="51">
        <f t="shared" si="129"/>
        <v>-0.54560422958922761</v>
      </c>
      <c r="AJ129" s="51" t="str">
        <f t="shared" si="109"/>
        <v>1+0.000809431065517899i</v>
      </c>
      <c r="AK129" s="51">
        <f t="shared" si="130"/>
        <v>1.0000003275892713</v>
      </c>
      <c r="AL129" s="51">
        <f t="shared" si="131"/>
        <v>8.0943088874398431E-4</v>
      </c>
      <c r="AM129" s="51" t="e">
        <f t="shared" si="110"/>
        <v>#NUM!</v>
      </c>
      <c r="AN129" s="51" t="e">
        <f t="shared" si="132"/>
        <v>#NUM!</v>
      </c>
      <c r="AO129" s="51" t="e">
        <f t="shared" si="133"/>
        <v>#NUM!</v>
      </c>
      <c r="AP129" s="60" t="e">
        <f t="shared" si="134"/>
        <v>#NUM!</v>
      </c>
      <c r="AQ129" s="51" t="e">
        <f t="shared" si="135"/>
        <v>#NUM!</v>
      </c>
      <c r="AR129" s="63" t="e">
        <f t="shared" si="136"/>
        <v>#NUM!</v>
      </c>
      <c r="AS129" s="32" t="str">
        <f t="shared" si="111"/>
        <v>-0.000170731707317073</v>
      </c>
      <c r="AT129" s="32" t="str">
        <f t="shared" si="112"/>
        <v>0.0000307583804896802i</v>
      </c>
      <c r="AU129" s="32">
        <f t="shared" si="137"/>
        <v>3.0758380489680201E-5</v>
      </c>
      <c r="AV129" s="32">
        <f t="shared" si="138"/>
        <v>1.5707963267948966</v>
      </c>
      <c r="AW129" s="32" t="str">
        <f t="shared" si="113"/>
        <v>1+0.00654872333639007i</v>
      </c>
      <c r="AX129" s="32">
        <f t="shared" si="139"/>
        <v>1.0000214426587746</v>
      </c>
      <c r="AY129" s="32">
        <f t="shared" si="140"/>
        <v>6.5486297231019171E-3</v>
      </c>
      <c r="AZ129" s="32" t="str">
        <f t="shared" si="114"/>
        <v>1+0.124425743391411i</v>
      </c>
      <c r="BA129" s="32">
        <f t="shared" si="141"/>
        <v>1.007711151877613</v>
      </c>
      <c r="BB129" s="32">
        <f t="shared" si="142"/>
        <v>0.1237895327499318</v>
      </c>
      <c r="BC129" s="60" t="str">
        <f t="shared" si="143"/>
        <v>-0.654276379738123+5.55502254217236i</v>
      </c>
      <c r="BD129" s="51">
        <f t="shared" si="144"/>
        <v>14.953549414340443</v>
      </c>
      <c r="BE129" s="63">
        <f t="shared" si="145"/>
        <v>96.717408929739918</v>
      </c>
      <c r="BF129" s="60" t="str">
        <f t="shared" si="146"/>
        <v>34.6604389536633+114.454853415899i</v>
      </c>
      <c r="BG129" s="66">
        <f t="shared" si="147"/>
        <v>41.553742870693746</v>
      </c>
      <c r="BH129" s="63">
        <f t="shared" si="148"/>
        <v>73.152078401343957</v>
      </c>
      <c r="BI129" s="60" t="e">
        <f t="shared" si="152"/>
        <v>#NUM!</v>
      </c>
      <c r="BJ129" s="66" t="e">
        <f t="shared" si="149"/>
        <v>#NUM!</v>
      </c>
      <c r="BK129" s="63" t="e">
        <f t="shared" si="153"/>
        <v>#NUM!</v>
      </c>
      <c r="BL129" s="51">
        <f t="shared" si="150"/>
        <v>41.553742870693746</v>
      </c>
      <c r="BM129" s="63">
        <f t="shared" si="151"/>
        <v>73.152078401343957</v>
      </c>
    </row>
    <row r="130" spans="14:65" x14ac:dyDescent="0.3">
      <c r="N130" s="11">
        <v>12</v>
      </c>
      <c r="O130" s="52">
        <f t="shared" si="154"/>
        <v>131.82567385564084</v>
      </c>
      <c r="P130" s="50" t="str">
        <f t="shared" si="103"/>
        <v>23.3035714285714</v>
      </c>
      <c r="Q130" s="18" t="str">
        <f t="shared" si="104"/>
        <v>1+0.443724180577934i</v>
      </c>
      <c r="R130" s="18">
        <f t="shared" si="116"/>
        <v>1.0940252046591792</v>
      </c>
      <c r="S130" s="18">
        <f t="shared" si="117"/>
        <v>0.41762271137503004</v>
      </c>
      <c r="T130" s="18" t="str">
        <f t="shared" si="105"/>
        <v>1+0.000828285137078811i</v>
      </c>
      <c r="U130" s="18">
        <f t="shared" si="118"/>
        <v>1.0000003430280753</v>
      </c>
      <c r="V130" s="18">
        <f t="shared" si="119"/>
        <v>8.2828494766215219E-4</v>
      </c>
      <c r="W130" s="32" t="str">
        <f t="shared" si="106"/>
        <v>1-0.00202469700174821i</v>
      </c>
      <c r="X130" s="18">
        <f t="shared" si="120"/>
        <v>1.0000020496968738</v>
      </c>
      <c r="Y130" s="18">
        <f t="shared" si="121"/>
        <v>-2.0246942350754362E-3</v>
      </c>
      <c r="Z130" s="32" t="str">
        <f t="shared" si="107"/>
        <v>0.999999930487967+0.000993714386081876i</v>
      </c>
      <c r="AA130" s="18">
        <f t="shared" si="122"/>
        <v>1.00000042422202</v>
      </c>
      <c r="AB130" s="18">
        <f t="shared" si="123"/>
        <v>9.9371412806996797E-4</v>
      </c>
      <c r="AC130" s="68" t="str">
        <f t="shared" si="124"/>
        <v>19.451154564718-8.68198537764054i</v>
      </c>
      <c r="AD130" s="66">
        <f t="shared" si="125"/>
        <v>26.567920239742925</v>
      </c>
      <c r="AE130" s="63">
        <f t="shared" si="126"/>
        <v>-24.053503618919322</v>
      </c>
      <c r="AF130" s="51" t="e">
        <f t="shared" si="127"/>
        <v>#NUM!</v>
      </c>
      <c r="AG130" s="51" t="str">
        <f t="shared" si="108"/>
        <v>1-0.62121385280911i</v>
      </c>
      <c r="AH130" s="51">
        <f t="shared" si="128"/>
        <v>1.1772453656404593</v>
      </c>
      <c r="AI130" s="51">
        <f t="shared" si="129"/>
        <v>-0.55587205858775546</v>
      </c>
      <c r="AJ130" s="51" t="str">
        <f t="shared" si="109"/>
        <v>1+0.000828285137078811i</v>
      </c>
      <c r="AK130" s="51">
        <f t="shared" si="130"/>
        <v>1.0000003430280753</v>
      </c>
      <c r="AL130" s="51">
        <f t="shared" si="131"/>
        <v>8.2828494766215219E-4</v>
      </c>
      <c r="AM130" s="51" t="e">
        <f t="shared" si="110"/>
        <v>#NUM!</v>
      </c>
      <c r="AN130" s="51" t="e">
        <f t="shared" si="132"/>
        <v>#NUM!</v>
      </c>
      <c r="AO130" s="51" t="e">
        <f t="shared" si="133"/>
        <v>#NUM!</v>
      </c>
      <c r="AP130" s="60" t="e">
        <f t="shared" si="134"/>
        <v>#NUM!</v>
      </c>
      <c r="AQ130" s="51" t="e">
        <f t="shared" si="135"/>
        <v>#NUM!</v>
      </c>
      <c r="AR130" s="63" t="e">
        <f t="shared" si="136"/>
        <v>#NUM!</v>
      </c>
      <c r="AS130" s="32" t="str">
        <f t="shared" si="111"/>
        <v>-0.000170731707317073</v>
      </c>
      <c r="AT130" s="32" t="str">
        <f t="shared" si="112"/>
        <v>0.0000314748352089948i</v>
      </c>
      <c r="AU130" s="32">
        <f t="shared" si="137"/>
        <v>3.1474835208994803E-5</v>
      </c>
      <c r="AV130" s="32">
        <f t="shared" si="138"/>
        <v>1.5707963267948966</v>
      </c>
      <c r="AW130" s="32" t="str">
        <f t="shared" si="113"/>
        <v>1+0.0067012626985134i</v>
      </c>
      <c r="AX130" s="32">
        <f t="shared" si="139"/>
        <v>1.000022453208804</v>
      </c>
      <c r="AY130" s="32">
        <f t="shared" si="140"/>
        <v>6.7011623901895561E-3</v>
      </c>
      <c r="AZ130" s="32" t="str">
        <f t="shared" si="114"/>
        <v>1+0.127323991271755i</v>
      </c>
      <c r="BA130" s="32">
        <f t="shared" si="141"/>
        <v>1.0080731118095403</v>
      </c>
      <c r="BB130" s="32">
        <f t="shared" si="142"/>
        <v>0.12664257379958255</v>
      </c>
      <c r="BC130" s="60" t="str">
        <f t="shared" si="143"/>
        <v>-0.654275057410456+5.42877211660998i</v>
      </c>
      <c r="BD130" s="51">
        <f t="shared" si="144"/>
        <v>14.756659962931524</v>
      </c>
      <c r="BE130" s="63">
        <f t="shared" si="145"/>
        <v>96.872136662600468</v>
      </c>
      <c r="BF130" s="60" t="str">
        <f t="shared" si="146"/>
        <v>34.40611486542+111.276292018205i</v>
      </c>
      <c r="BG130" s="66">
        <f t="shared" si="147"/>
        <v>41.32458020267449</v>
      </c>
      <c r="BH130" s="63">
        <f t="shared" si="148"/>
        <v>72.818633043681231</v>
      </c>
      <c r="BI130" s="60" t="e">
        <f t="shared" si="152"/>
        <v>#NUM!</v>
      </c>
      <c r="BJ130" s="66" t="e">
        <f t="shared" si="149"/>
        <v>#NUM!</v>
      </c>
      <c r="BK130" s="63" t="e">
        <f t="shared" si="153"/>
        <v>#NUM!</v>
      </c>
      <c r="BL130" s="51">
        <f t="shared" si="150"/>
        <v>41.32458020267449</v>
      </c>
      <c r="BM130" s="63">
        <f t="shared" si="151"/>
        <v>72.818633043681231</v>
      </c>
    </row>
    <row r="131" spans="14:65" x14ac:dyDescent="0.3">
      <c r="N131" s="11">
        <v>13</v>
      </c>
      <c r="O131" s="52">
        <f t="shared" si="154"/>
        <v>134.89628825916537</v>
      </c>
      <c r="P131" s="50" t="str">
        <f t="shared" si="103"/>
        <v>23.3035714285714</v>
      </c>
      <c r="Q131" s="18" t="str">
        <f t="shared" si="104"/>
        <v>1+0.454059844490919i</v>
      </c>
      <c r="R131" s="18">
        <f t="shared" si="116"/>
        <v>1.0982578669780232</v>
      </c>
      <c r="S131" s="18">
        <f t="shared" si="117"/>
        <v>0.42622496186350084</v>
      </c>
      <c r="T131" s="18" t="str">
        <f t="shared" si="105"/>
        <v>1+0.00084757837638305i</v>
      </c>
      <c r="U131" s="18">
        <f t="shared" si="118"/>
        <v>1.0000003591944875</v>
      </c>
      <c r="V131" s="18">
        <f t="shared" si="119"/>
        <v>8.475781734194474E-4</v>
      </c>
      <c r="W131" s="32" t="str">
        <f t="shared" si="106"/>
        <v>1-0.00207185825338079i</v>
      </c>
      <c r="X131" s="18">
        <f t="shared" si="120"/>
        <v>1.0000021462960078</v>
      </c>
      <c r="Y131" s="18">
        <f t="shared" si="121"/>
        <v>-2.0718552888378456E-3</v>
      </c>
      <c r="Z131" s="32" t="str">
        <f t="shared" si="107"/>
        <v>0.999999927211966+0.00101686096760615i</v>
      </c>
      <c r="AA131" s="18">
        <f t="shared" si="122"/>
        <v>1.0000004442149839</v>
      </c>
      <c r="AB131" s="18">
        <f t="shared" si="123"/>
        <v>1.0168606911414159E-3</v>
      </c>
      <c r="AC131" s="68" t="str">
        <f t="shared" si="124"/>
        <v>19.3006295461858-8.81586742920786i</v>
      </c>
      <c r="AD131" s="66">
        <f t="shared" si="125"/>
        <v>26.534381140115354</v>
      </c>
      <c r="AE131" s="63">
        <f t="shared" si="126"/>
        <v>-24.549299175526109</v>
      </c>
      <c r="AF131" s="51" t="e">
        <f t="shared" si="127"/>
        <v>#NUM!</v>
      </c>
      <c r="AG131" s="51" t="str">
        <f t="shared" si="108"/>
        <v>1-0.635683782287289i</v>
      </c>
      <c r="AH131" s="51">
        <f t="shared" si="128"/>
        <v>1.1849446700428983</v>
      </c>
      <c r="AI131" s="51">
        <f t="shared" si="129"/>
        <v>-0.56624517237069005</v>
      </c>
      <c r="AJ131" s="51" t="str">
        <f t="shared" si="109"/>
        <v>1+0.00084757837638305i</v>
      </c>
      <c r="AK131" s="51">
        <f t="shared" si="130"/>
        <v>1.0000003591944875</v>
      </c>
      <c r="AL131" s="51">
        <f t="shared" si="131"/>
        <v>8.475781734194474E-4</v>
      </c>
      <c r="AM131" s="51" t="e">
        <f t="shared" si="110"/>
        <v>#NUM!</v>
      </c>
      <c r="AN131" s="51" t="e">
        <f t="shared" si="132"/>
        <v>#NUM!</v>
      </c>
      <c r="AO131" s="51" t="e">
        <f t="shared" si="133"/>
        <v>#NUM!</v>
      </c>
      <c r="AP131" s="60" t="e">
        <f t="shared" si="134"/>
        <v>#NUM!</v>
      </c>
      <c r="AQ131" s="51" t="e">
        <f t="shared" si="135"/>
        <v>#NUM!</v>
      </c>
      <c r="AR131" s="63" t="e">
        <f t="shared" si="136"/>
        <v>#NUM!</v>
      </c>
      <c r="AS131" s="32" t="str">
        <f t="shared" si="111"/>
        <v>-0.000170731707317073</v>
      </c>
      <c r="AT131" s="32" t="str">
        <f t="shared" si="112"/>
        <v>0.0000322079783025559i</v>
      </c>
      <c r="AU131" s="32">
        <f t="shared" si="137"/>
        <v>3.22079783025559E-5</v>
      </c>
      <c r="AV131" s="32">
        <f t="shared" si="138"/>
        <v>1.5707963267948966</v>
      </c>
      <c r="AW131" s="32" t="str">
        <f t="shared" si="113"/>
        <v>1+0.00685735515882117i</v>
      </c>
      <c r="AX131" s="32">
        <f t="shared" si="139"/>
        <v>1.0000235113834945</v>
      </c>
      <c r="AY131" s="32">
        <f t="shared" si="140"/>
        <v>6.8572476766521747E-3</v>
      </c>
      <c r="AZ131" s="32" t="str">
        <f t="shared" si="114"/>
        <v>1+0.130289748017603i</v>
      </c>
      <c r="BA131" s="32">
        <f t="shared" si="141"/>
        <v>1.0084519911421121</v>
      </c>
      <c r="BB131" s="32">
        <f t="shared" si="142"/>
        <v>0.12955992614228487</v>
      </c>
      <c r="BC131" s="60" t="str">
        <f t="shared" si="143"/>
        <v>-0.654273672769132+5.30540009704669i</v>
      </c>
      <c r="BD131" s="51">
        <f t="shared" si="144"/>
        <v>14.559914707625261</v>
      </c>
      <c r="BE131" s="63">
        <f t="shared" si="145"/>
        <v>97.030345611031521</v>
      </c>
      <c r="BF131" s="60" t="str">
        <f t="shared" si="146"/>
        <v>34.1438101345307+108.16555182895i</v>
      </c>
      <c r="BG131" s="66">
        <f t="shared" si="147"/>
        <v>41.094295847740618</v>
      </c>
      <c r="BH131" s="63">
        <f t="shared" si="148"/>
        <v>72.481046435505434</v>
      </c>
      <c r="BI131" s="60" t="e">
        <f t="shared" si="152"/>
        <v>#NUM!</v>
      </c>
      <c r="BJ131" s="66" t="e">
        <f t="shared" si="149"/>
        <v>#NUM!</v>
      </c>
      <c r="BK131" s="63" t="e">
        <f t="shared" si="153"/>
        <v>#NUM!</v>
      </c>
      <c r="BL131" s="51">
        <f t="shared" si="150"/>
        <v>41.094295847740618</v>
      </c>
      <c r="BM131" s="63">
        <f t="shared" si="151"/>
        <v>72.481046435505434</v>
      </c>
    </row>
    <row r="132" spans="14:65" x14ac:dyDescent="0.3">
      <c r="N132" s="11">
        <v>14</v>
      </c>
      <c r="O132" s="52">
        <f t="shared" si="154"/>
        <v>138.0384264602886</v>
      </c>
      <c r="P132" s="50" t="str">
        <f t="shared" si="103"/>
        <v>23.3035714285714</v>
      </c>
      <c r="Q132" s="18" t="str">
        <f t="shared" si="104"/>
        <v>1+0.464636256943647i</v>
      </c>
      <c r="R132" s="18">
        <f t="shared" si="116"/>
        <v>1.1026725947744429</v>
      </c>
      <c r="S132" s="18">
        <f t="shared" si="117"/>
        <v>0.43495855580469933</v>
      </c>
      <c r="T132" s="18" t="str">
        <f t="shared" si="105"/>
        <v>1+0.000867321012961475i</v>
      </c>
      <c r="U132" s="18">
        <f t="shared" si="118"/>
        <v>1.0000003761227989</v>
      </c>
      <c r="V132" s="18">
        <f t="shared" si="119"/>
        <v>8.6732079548206085E-4</v>
      </c>
      <c r="W132" s="32" t="str">
        <f t="shared" si="106"/>
        <v>1-0.00212011803168361i</v>
      </c>
      <c r="X132" s="18">
        <f t="shared" si="120"/>
        <v>1.0000022474477086</v>
      </c>
      <c r="Y132" s="18">
        <f t="shared" si="121"/>
        <v>-2.1201148551189992E-3</v>
      </c>
      <c r="Z132" s="32" t="str">
        <f t="shared" si="107"/>
        <v>0.999999923781571+0.00104054670227521i</v>
      </c>
      <c r="AA132" s="18">
        <f t="shared" si="122"/>
        <v>1.0000004651501857</v>
      </c>
      <c r="AB132" s="18">
        <f t="shared" si="123"/>
        <v>1.0405464060379184E-3</v>
      </c>
      <c r="AC132" s="68" t="str">
        <f t="shared" si="124"/>
        <v>19.1454729717904-8.94912399088628i</v>
      </c>
      <c r="AD132" s="66">
        <f t="shared" si="125"/>
        <v>26.499536821353857</v>
      </c>
      <c r="AE132" s="63">
        <f t="shared" si="126"/>
        <v>-25.052688240384491</v>
      </c>
      <c r="AF132" s="51" t="e">
        <f t="shared" si="127"/>
        <v>#NUM!</v>
      </c>
      <c r="AG132" s="51" t="str">
        <f t="shared" si="108"/>
        <v>1-0.650490759721108i</v>
      </c>
      <c r="AH132" s="51">
        <f t="shared" si="128"/>
        <v>1.1929535734816106</v>
      </c>
      <c r="AI132" s="51">
        <f t="shared" si="129"/>
        <v>-0.57672014127594973</v>
      </c>
      <c r="AJ132" s="51" t="str">
        <f t="shared" si="109"/>
        <v>1+0.000867321012961475i</v>
      </c>
      <c r="AK132" s="51">
        <f t="shared" si="130"/>
        <v>1.0000003761227989</v>
      </c>
      <c r="AL132" s="51">
        <f t="shared" si="131"/>
        <v>8.6732079548206085E-4</v>
      </c>
      <c r="AM132" s="51" t="e">
        <f t="shared" si="110"/>
        <v>#NUM!</v>
      </c>
      <c r="AN132" s="51" t="e">
        <f t="shared" si="132"/>
        <v>#NUM!</v>
      </c>
      <c r="AO132" s="51" t="e">
        <f t="shared" si="133"/>
        <v>#NUM!</v>
      </c>
      <c r="AP132" s="60" t="e">
        <f t="shared" si="134"/>
        <v>#NUM!</v>
      </c>
      <c r="AQ132" s="51" t="e">
        <f t="shared" si="135"/>
        <v>#NUM!</v>
      </c>
      <c r="AR132" s="63" t="e">
        <f t="shared" si="136"/>
        <v>#NUM!</v>
      </c>
      <c r="AS132" s="32" t="str">
        <f t="shared" si="111"/>
        <v>-0.000170731707317073</v>
      </c>
      <c r="AT132" s="32" t="str">
        <f t="shared" si="112"/>
        <v>0.0000329581984925361i</v>
      </c>
      <c r="AU132" s="32">
        <f t="shared" si="137"/>
        <v>3.29581984925361E-5</v>
      </c>
      <c r="AV132" s="32">
        <f t="shared" si="138"/>
        <v>1.5707963267948966</v>
      </c>
      <c r="AW132" s="32" t="str">
        <f t="shared" si="113"/>
        <v>1+0.00701708347960199i</v>
      </c>
      <c r="AX132" s="32">
        <f t="shared" si="139"/>
        <v>1.0000246194272218</v>
      </c>
      <c r="AY132" s="32">
        <f t="shared" si="140"/>
        <v>7.0169683105360762E-3</v>
      </c>
      <c r="AZ132" s="32" t="str">
        <f t="shared" si="114"/>
        <v>1+0.133324586112438i</v>
      </c>
      <c r="BA132" s="32">
        <f t="shared" si="141"/>
        <v>1.0088485740001087</v>
      </c>
      <c r="BB132" s="32">
        <f t="shared" si="142"/>
        <v>0.13254293785581495</v>
      </c>
      <c r="BC132" s="60" t="str">
        <f t="shared" si="143"/>
        <v>-0.654272222877949+5.18484106994496i</v>
      </c>
      <c r="BD132" s="51">
        <f t="shared" si="144"/>
        <v>14.363320216626148</v>
      </c>
      <c r="BE132" s="63">
        <f t="shared" si="145"/>
        <v>97.192108274232183</v>
      </c>
      <c r="BF132" s="60" t="str">
        <f t="shared" si="146"/>
        <v>33.8734344486739+105.121397813988i</v>
      </c>
      <c r="BG132" s="66">
        <f t="shared" si="147"/>
        <v>40.862857037980035</v>
      </c>
      <c r="BH132" s="63">
        <f t="shared" si="148"/>
        <v>72.139420033847784</v>
      </c>
      <c r="BI132" s="60" t="e">
        <f t="shared" si="152"/>
        <v>#NUM!</v>
      </c>
      <c r="BJ132" s="66" t="e">
        <f t="shared" si="149"/>
        <v>#NUM!</v>
      </c>
      <c r="BK132" s="63" t="e">
        <f t="shared" si="153"/>
        <v>#NUM!</v>
      </c>
      <c r="BL132" s="51">
        <f t="shared" si="150"/>
        <v>40.862857037980035</v>
      </c>
      <c r="BM132" s="63">
        <f t="shared" si="151"/>
        <v>72.139420033847784</v>
      </c>
    </row>
    <row r="133" spans="14:65" x14ac:dyDescent="0.3">
      <c r="N133" s="11">
        <v>15</v>
      </c>
      <c r="O133" s="52">
        <f t="shared" si="154"/>
        <v>141.25375446227542</v>
      </c>
      <c r="P133" s="50" t="str">
        <f t="shared" si="103"/>
        <v>23.3035714285714</v>
      </c>
      <c r="Q133" s="18" t="str">
        <f t="shared" si="104"/>
        <v>1+0.475459025689993i</v>
      </c>
      <c r="R133" s="18">
        <f t="shared" si="116"/>
        <v>1.1072765170047081</v>
      </c>
      <c r="S133" s="18">
        <f t="shared" si="117"/>
        <v>0.44382279355218301</v>
      </c>
      <c r="T133" s="18" t="str">
        <f t="shared" si="105"/>
        <v>1+0.000887523514621322i</v>
      </c>
      <c r="U133" s="18">
        <f t="shared" si="118"/>
        <v>1.000000393848917</v>
      </c>
      <c r="V133" s="18">
        <f t="shared" si="119"/>
        <v>8.8752328158793622E-4</v>
      </c>
      <c r="W133" s="32" t="str">
        <f t="shared" si="106"/>
        <v>1-0.0021695019246299i</v>
      </c>
      <c r="X133" s="18">
        <f t="shared" si="120"/>
        <v>1.0000023533665312</v>
      </c>
      <c r="Y133" s="18">
        <f t="shared" si="121"/>
        <v>-2.1694985208800277E-3</v>
      </c>
      <c r="Z133" s="32" t="str">
        <f t="shared" si="107"/>
        <v>0.999999920189507+0.00106478414857907i</v>
      </c>
      <c r="AA133" s="18">
        <f t="shared" si="122"/>
        <v>1.0000004870720332</v>
      </c>
      <c r="AB133" s="18">
        <f t="shared" si="123"/>
        <v>1.0647838311551015E-3</v>
      </c>
      <c r="AC133" s="68" t="str">
        <f t="shared" si="124"/>
        <v>18.9856398988995-9.08158178946104i</v>
      </c>
      <c r="AD133" s="66">
        <f t="shared" si="125"/>
        <v>26.463347533801127</v>
      </c>
      <c r="AE133" s="63">
        <f t="shared" si="126"/>
        <v>-25.563632312516756</v>
      </c>
      <c r="AF133" s="51" t="e">
        <f t="shared" si="127"/>
        <v>#NUM!</v>
      </c>
      <c r="AG133" s="51" t="str">
        <f t="shared" si="108"/>
        <v>1-0.665642635965993i</v>
      </c>
      <c r="AH133" s="51">
        <f t="shared" si="128"/>
        <v>1.2012826972930875</v>
      </c>
      <c r="AI133" s="51">
        <f t="shared" si="129"/>
        <v>-0.58729332410879165</v>
      </c>
      <c r="AJ133" s="51" t="str">
        <f t="shared" si="109"/>
        <v>1+0.000887523514621322i</v>
      </c>
      <c r="AK133" s="51">
        <f t="shared" si="130"/>
        <v>1.000000393848917</v>
      </c>
      <c r="AL133" s="51">
        <f t="shared" si="131"/>
        <v>8.8752328158793622E-4</v>
      </c>
      <c r="AM133" s="51" t="e">
        <f t="shared" si="110"/>
        <v>#NUM!</v>
      </c>
      <c r="AN133" s="51" t="e">
        <f t="shared" si="132"/>
        <v>#NUM!</v>
      </c>
      <c r="AO133" s="51" t="e">
        <f t="shared" si="133"/>
        <v>#NUM!</v>
      </c>
      <c r="AP133" s="60" t="e">
        <f t="shared" si="134"/>
        <v>#NUM!</v>
      </c>
      <c r="AQ133" s="51" t="e">
        <f t="shared" si="135"/>
        <v>#NUM!</v>
      </c>
      <c r="AR133" s="63" t="e">
        <f t="shared" si="136"/>
        <v>#NUM!</v>
      </c>
      <c r="AS133" s="32" t="str">
        <f t="shared" si="111"/>
        <v>-0.000170731707317073</v>
      </c>
      <c r="AT133" s="32" t="str">
        <f t="shared" si="112"/>
        <v>0.0000337258935556102i</v>
      </c>
      <c r="AU133" s="32">
        <f t="shared" si="137"/>
        <v>3.3725893555610201E-5</v>
      </c>
      <c r="AV133" s="32">
        <f t="shared" si="138"/>
        <v>1.5707963267948966</v>
      </c>
      <c r="AW133" s="32" t="str">
        <f t="shared" si="113"/>
        <v>1+0.00718053235092576i</v>
      </c>
      <c r="AX133" s="32">
        <f t="shared" si="139"/>
        <v>1.0000257796901251</v>
      </c>
      <c r="AY133" s="32">
        <f t="shared" si="140"/>
        <v>7.1804089452200837E-3</v>
      </c>
      <c r="AZ133" s="32" t="str">
        <f t="shared" si="114"/>
        <v>1+0.13643011466759i</v>
      </c>
      <c r="BA133" s="32">
        <f t="shared" si="141"/>
        <v>1.0092636802086024</v>
      </c>
      <c r="BB133" s="32">
        <f t="shared" si="142"/>
        <v>0.13559297810865914</v>
      </c>
      <c r="BC133" s="60" t="str">
        <f t="shared" si="143"/>
        <v>-0.654270704662394+5.06703111324884i</v>
      </c>
      <c r="BD133" s="51">
        <f t="shared" si="144"/>
        <v>14.166883346310593</v>
      </c>
      <c r="BE133" s="63">
        <f t="shared" si="145"/>
        <v>97.357498249496842</v>
      </c>
      <c r="BF133" s="60" t="str">
        <f t="shared" si="146"/>
        <v>33.5949094895937+102.142640989502i</v>
      </c>
      <c r="BG133" s="66">
        <f t="shared" si="147"/>
        <v>40.630230880111704</v>
      </c>
      <c r="BH133" s="63">
        <f t="shared" si="148"/>
        <v>71.793865936980083</v>
      </c>
      <c r="BI133" s="60" t="e">
        <f t="shared" si="152"/>
        <v>#NUM!</v>
      </c>
      <c r="BJ133" s="66" t="e">
        <f t="shared" si="149"/>
        <v>#NUM!</v>
      </c>
      <c r="BK133" s="63" t="e">
        <f t="shared" si="153"/>
        <v>#NUM!</v>
      </c>
      <c r="BL133" s="51">
        <f t="shared" si="150"/>
        <v>40.630230880111704</v>
      </c>
      <c r="BM133" s="63">
        <f t="shared" si="151"/>
        <v>71.793865936980083</v>
      </c>
    </row>
    <row r="134" spans="14:65" x14ac:dyDescent="0.3">
      <c r="N134" s="11">
        <v>16</v>
      </c>
      <c r="O134" s="52">
        <f t="shared" si="154"/>
        <v>144.54397707459285</v>
      </c>
      <c r="P134" s="50" t="str">
        <f t="shared" si="103"/>
        <v>23.3035714285714</v>
      </c>
      <c r="Q134" s="18" t="str">
        <f t="shared" si="104"/>
        <v>1+0.486533889105205i</v>
      </c>
      <c r="R134" s="18">
        <f t="shared" si="116"/>
        <v>1.1120769871046861</v>
      </c>
      <c r="S134" s="18">
        <f t="shared" si="117"/>
        <v>0.45281680199182001</v>
      </c>
      <c r="T134" s="18" t="str">
        <f t="shared" si="105"/>
        <v>1+0.000908196592996385i</v>
      </c>
      <c r="U134" s="18">
        <f t="shared" si="118"/>
        <v>1.0000004124104407</v>
      </c>
      <c r="V134" s="18">
        <f t="shared" si="119"/>
        <v>9.0819634329661889E-4</v>
      </c>
      <c r="W134" s="32" t="str">
        <f t="shared" si="106"/>
        <v>1-0.00222003611621339i</v>
      </c>
      <c r="X134" s="18">
        <f t="shared" si="120"/>
        <v>1.0000024642771423</v>
      </c>
      <c r="Y134" s="18">
        <f t="shared" si="121"/>
        <v>-2.2200324690301769E-3</v>
      </c>
      <c r="Z134" s="32" t="str">
        <f t="shared" si="107"/>
        <v>0.999999916428155+0.00108958615753259i</v>
      </c>
      <c r="AA134" s="18">
        <f t="shared" si="122"/>
        <v>1.0000005100270259</v>
      </c>
      <c r="AB134" s="18">
        <f t="shared" si="123"/>
        <v>1.0895858174066885E-3</v>
      </c>
      <c r="AC134" s="68" t="str">
        <f t="shared" si="124"/>
        <v>18.8210928477781-9.21306128687708i</v>
      </c>
      <c r="AD134" s="66">
        <f t="shared" si="125"/>
        <v>26.425773175518145</v>
      </c>
      <c r="AE134" s="63">
        <f t="shared" si="126"/>
        <v>-26.08208298891444</v>
      </c>
      <c r="AF134" s="51" t="e">
        <f t="shared" si="127"/>
        <v>#NUM!</v>
      </c>
      <c r="AG134" s="51" t="str">
        <f t="shared" si="108"/>
        <v>1-0.68114744474729i</v>
      </c>
      <c r="AH134" s="51">
        <f t="shared" si="128"/>
        <v>1.2099429083579782</v>
      </c>
      <c r="AI134" s="51">
        <f t="shared" si="129"/>
        <v>-0.59796087077072702</v>
      </c>
      <c r="AJ134" s="51" t="str">
        <f t="shared" si="109"/>
        <v>1+0.000908196592996385i</v>
      </c>
      <c r="AK134" s="51">
        <f t="shared" si="130"/>
        <v>1.0000004124104407</v>
      </c>
      <c r="AL134" s="51">
        <f t="shared" si="131"/>
        <v>9.0819634329661889E-4</v>
      </c>
      <c r="AM134" s="51" t="e">
        <f t="shared" si="110"/>
        <v>#NUM!</v>
      </c>
      <c r="AN134" s="51" t="e">
        <f t="shared" si="132"/>
        <v>#NUM!</v>
      </c>
      <c r="AO134" s="51" t="e">
        <f t="shared" si="133"/>
        <v>#NUM!</v>
      </c>
      <c r="AP134" s="60" t="e">
        <f t="shared" si="134"/>
        <v>#NUM!</v>
      </c>
      <c r="AQ134" s="51" t="e">
        <f t="shared" si="135"/>
        <v>#NUM!</v>
      </c>
      <c r="AR134" s="63" t="e">
        <f t="shared" si="136"/>
        <v>#NUM!</v>
      </c>
      <c r="AS134" s="32" t="str">
        <f t="shared" si="111"/>
        <v>-0.000170731707317073</v>
      </c>
      <c r="AT134" s="32" t="str">
        <f t="shared" si="112"/>
        <v>0.0000345114705338626i</v>
      </c>
      <c r="AU134" s="32">
        <f t="shared" si="137"/>
        <v>3.4511470533862601E-5</v>
      </c>
      <c r="AV134" s="32">
        <f t="shared" si="138"/>
        <v>1.5707963267948966</v>
      </c>
      <c r="AW134" s="32" t="str">
        <f t="shared" si="113"/>
        <v>1+0.00734778843554759i</v>
      </c>
      <c r="AX134" s="32">
        <f t="shared" si="139"/>
        <v>1.0000269946330915</v>
      </c>
      <c r="AY134" s="32">
        <f t="shared" si="140"/>
        <v>7.347656204144363E-3</v>
      </c>
      <c r="AZ134" s="32" t="str">
        <f t="shared" si="114"/>
        <v>1+0.139607980275404i</v>
      </c>
      <c r="BA134" s="32">
        <f t="shared" si="141"/>
        <v>1.0096981668580851</v>
      </c>
      <c r="BB134" s="32">
        <f t="shared" si="142"/>
        <v>0.13871143696270433</v>
      </c>
      <c r="BC134" s="60" t="str">
        <f t="shared" si="143"/>
        <v>-0.65426911490309+4.95190776249128i</v>
      </c>
      <c r="BD134" s="51">
        <f t="shared" si="144"/>
        <v>13.970611252828558</v>
      </c>
      <c r="BE134" s="63">
        <f t="shared" si="145"/>
        <v>97.526590218347323</v>
      </c>
      <c r="BF134" s="60" t="str">
        <f t="shared" si="146"/>
        <v>33.3081699437699+99.2281372251945i</v>
      </c>
      <c r="BG134" s="66">
        <f t="shared" si="147"/>
        <v>40.396384428346707</v>
      </c>
      <c r="BH134" s="63">
        <f t="shared" si="148"/>
        <v>71.444507229432887</v>
      </c>
      <c r="BI134" s="60" t="e">
        <f t="shared" si="152"/>
        <v>#NUM!</v>
      </c>
      <c r="BJ134" s="66" t="e">
        <f t="shared" si="149"/>
        <v>#NUM!</v>
      </c>
      <c r="BK134" s="63" t="e">
        <f t="shared" si="153"/>
        <v>#NUM!</v>
      </c>
      <c r="BL134" s="51">
        <f t="shared" si="150"/>
        <v>40.396384428346707</v>
      </c>
      <c r="BM134" s="63">
        <f t="shared" si="151"/>
        <v>71.444507229432887</v>
      </c>
    </row>
    <row r="135" spans="14:65" x14ac:dyDescent="0.3">
      <c r="N135" s="11">
        <v>17</v>
      </c>
      <c r="O135" s="52">
        <f t="shared" si="154"/>
        <v>147.91083881682084</v>
      </c>
      <c r="P135" s="50" t="str">
        <f t="shared" si="103"/>
        <v>23.3035714285714</v>
      </c>
      <c r="Q135" s="18" t="str">
        <f t="shared" si="104"/>
        <v>1+0.497866719228458i</v>
      </c>
      <c r="R135" s="18">
        <f t="shared" si="116"/>
        <v>1.117081586149959</v>
      </c>
      <c r="S135" s="18">
        <f t="shared" si="117"/>
        <v>0.46193952851718662</v>
      </c>
      <c r="T135" s="18" t="str">
        <f t="shared" si="105"/>
        <v>1+0.000929351209226457i</v>
      </c>
      <c r="U135" s="18">
        <f t="shared" si="118"/>
        <v>1.0000004318467419</v>
      </c>
      <c r="V135" s="18">
        <f t="shared" si="119"/>
        <v>9.2935094166834346E-4</v>
      </c>
      <c r="W135" s="32" t="str">
        <f t="shared" si="106"/>
        <v>1-0.00227174740033134i</v>
      </c>
      <c r="X135" s="18">
        <f t="shared" si="120"/>
        <v>1.0000025804147963</v>
      </c>
      <c r="Y135" s="18">
        <f t="shared" si="121"/>
        <v>-2.2717434923046624E-3</v>
      </c>
      <c r="Z135" s="32" t="str">
        <f t="shared" si="107"/>
        <v>0.999999912489535+0.00111496587948921i</v>
      </c>
      <c r="AA135" s="18">
        <f t="shared" si="122"/>
        <v>1.0000005340638527</v>
      </c>
      <c r="AB135" s="18">
        <f t="shared" si="123"/>
        <v>1.114965515037751E-3</v>
      </c>
      <c r="AC135" s="68" t="str">
        <f t="shared" si="124"/>
        <v>18.6518023832582-9.34337696374i</v>
      </c>
      <c r="AD135" s="66">
        <f t="shared" si="125"/>
        <v>26.386773358507362</v>
      </c>
      <c r="AE135" s="63">
        <f t="shared" si="126"/>
        <v>-26.607981620213504</v>
      </c>
      <c r="AF135" s="51" t="e">
        <f t="shared" si="127"/>
        <v>#NUM!</v>
      </c>
      <c r="AG135" s="51" t="str">
        <f t="shared" si="108"/>
        <v>1-0.697013406919844i</v>
      </c>
      <c r="AH135" s="51">
        <f t="shared" si="128"/>
        <v>1.2189453184724932</v>
      </c>
      <c r="AI135" s="51">
        <f t="shared" si="129"/>
        <v>-0.60871872584392106</v>
      </c>
      <c r="AJ135" s="51" t="str">
        <f t="shared" si="109"/>
        <v>1+0.000929351209226457i</v>
      </c>
      <c r="AK135" s="51">
        <f t="shared" si="130"/>
        <v>1.0000004318467419</v>
      </c>
      <c r="AL135" s="51">
        <f t="shared" si="131"/>
        <v>9.2935094166834346E-4</v>
      </c>
      <c r="AM135" s="51" t="e">
        <f t="shared" si="110"/>
        <v>#NUM!</v>
      </c>
      <c r="AN135" s="51" t="e">
        <f t="shared" si="132"/>
        <v>#NUM!</v>
      </c>
      <c r="AO135" s="51" t="e">
        <f t="shared" si="133"/>
        <v>#NUM!</v>
      </c>
      <c r="AP135" s="60" t="e">
        <f t="shared" si="134"/>
        <v>#NUM!</v>
      </c>
      <c r="AQ135" s="51" t="e">
        <f t="shared" si="135"/>
        <v>#NUM!</v>
      </c>
      <c r="AR135" s="63" t="e">
        <f t="shared" si="136"/>
        <v>#NUM!</v>
      </c>
      <c r="AS135" s="32" t="str">
        <f t="shared" si="111"/>
        <v>-0.000170731707317073</v>
      </c>
      <c r="AT135" s="32" t="str">
        <f t="shared" si="112"/>
        <v>0.0000353153459506054i</v>
      </c>
      <c r="AU135" s="32">
        <f t="shared" si="137"/>
        <v>3.5315345950605399E-5</v>
      </c>
      <c r="AV135" s="32">
        <f t="shared" si="138"/>
        <v>1.5707963267948966</v>
      </c>
      <c r="AW135" s="32" t="str">
        <f t="shared" si="113"/>
        <v>1+0.00751894041485741i</v>
      </c>
      <c r="AX135" s="32">
        <f t="shared" si="139"/>
        <v>1.0000282668329741</v>
      </c>
      <c r="AY135" s="32">
        <f t="shared" si="140"/>
        <v>7.5187987265723961E-3</v>
      </c>
      <c r="AZ135" s="32" t="str">
        <f t="shared" si="114"/>
        <v>1+0.142859867882291i</v>
      </c>
      <c r="BA135" s="32">
        <f t="shared" si="141"/>
        <v>1.0101529299325649</v>
      </c>
      <c r="BB135" s="32">
        <f t="shared" si="142"/>
        <v>0.14189972512779028</v>
      </c>
      <c r="BC135" s="60" t="str">
        <f t="shared" si="143"/>
        <v>-0.654267450229022+4.83940997767435i</v>
      </c>
      <c r="BD135" s="51">
        <f t="shared" si="144"/>
        <v>13.774511404073142</v>
      </c>
      <c r="BE135" s="63">
        <f t="shared" si="145"/>
        <v>97.699459929847905</v>
      </c>
      <c r="BF135" s="60" t="str">
        <f t="shared" si="146"/>
        <v>33.0131645160261+96.3767859777447i</v>
      </c>
      <c r="BG135" s="66">
        <f t="shared" si="147"/>
        <v>40.1612847625805</v>
      </c>
      <c r="BH135" s="63">
        <f t="shared" si="148"/>
        <v>71.091478309634411</v>
      </c>
      <c r="BI135" s="60" t="e">
        <f t="shared" si="152"/>
        <v>#NUM!</v>
      </c>
      <c r="BJ135" s="66" t="e">
        <f t="shared" si="149"/>
        <v>#NUM!</v>
      </c>
      <c r="BK135" s="63" t="e">
        <f t="shared" si="153"/>
        <v>#NUM!</v>
      </c>
      <c r="BL135" s="51">
        <f t="shared" si="150"/>
        <v>40.1612847625805</v>
      </c>
      <c r="BM135" s="63">
        <f t="shared" si="151"/>
        <v>71.091478309634411</v>
      </c>
    </row>
    <row r="136" spans="14:65" x14ac:dyDescent="0.3">
      <c r="N136" s="11">
        <v>18</v>
      </c>
      <c r="O136" s="52">
        <f t="shared" si="154"/>
        <v>151.3561248436209</v>
      </c>
      <c r="P136" s="50" t="str">
        <f t="shared" si="103"/>
        <v>23.3035714285714</v>
      </c>
      <c r="Q136" s="18" t="str">
        <f t="shared" si="104"/>
        <v>1+0.509463524876291i</v>
      </c>
      <c r="R136" s="18">
        <f t="shared" si="116"/>
        <v>1.1222981258023088</v>
      </c>
      <c r="S136" s="18">
        <f t="shared" si="117"/>
        <v>0.47118973530931318</v>
      </c>
      <c r="T136" s="18" t="str">
        <f t="shared" si="105"/>
        <v>1+0.000950998579769078i</v>
      </c>
      <c r="U136" s="18">
        <f t="shared" si="118"/>
        <v>1.0000004521990471</v>
      </c>
      <c r="V136" s="18">
        <f t="shared" si="119"/>
        <v>9.5099829307540107E-4</v>
      </c>
      <c r="W136" s="32" t="str">
        <f t="shared" si="106"/>
        <v>1-0.00232466319499108i</v>
      </c>
      <c r="X136" s="18">
        <f t="shared" si="120"/>
        <v>1.0000027020258346</v>
      </c>
      <c r="Y136" s="18">
        <f t="shared" si="121"/>
        <v>-2.3246590074656607E-3</v>
      </c>
      <c r="Z136" s="32" t="str">
        <f t="shared" si="107"/>
        <v>0.999999908365294+0.00114093677111346i</v>
      </c>
      <c r="AA136" s="18">
        <f t="shared" si="122"/>
        <v>1.0000005592334995</v>
      </c>
      <c r="AB136" s="18">
        <f t="shared" si="123"/>
        <v>1.1409363805966971E-3</v>
      </c>
      <c r="AC136" s="68" t="str">
        <f t="shared" si="124"/>
        <v>18.4777476937984-9.47233765518276i</v>
      </c>
      <c r="AD136" s="66">
        <f t="shared" si="125"/>
        <v>26.34630747989479</v>
      </c>
      <c r="AE136" s="63">
        <f t="shared" si="126"/>
        <v>-27.141258983828617</v>
      </c>
      <c r="AF136" s="51" t="e">
        <f t="shared" si="127"/>
        <v>#NUM!</v>
      </c>
      <c r="AG136" s="51" t="str">
        <f t="shared" si="108"/>
        <v>1-0.71324893482681i</v>
      </c>
      <c r="AH136" s="51">
        <f t="shared" si="128"/>
        <v>1.2283012834934184</v>
      </c>
      <c r="AI136" s="51">
        <f t="shared" si="129"/>
        <v>-0.61956263315148197</v>
      </c>
      <c r="AJ136" s="51" t="str">
        <f t="shared" si="109"/>
        <v>1+0.000950998579769078i</v>
      </c>
      <c r="AK136" s="51">
        <f t="shared" si="130"/>
        <v>1.0000004521990471</v>
      </c>
      <c r="AL136" s="51">
        <f t="shared" si="131"/>
        <v>9.5099829307540107E-4</v>
      </c>
      <c r="AM136" s="51" t="e">
        <f t="shared" si="110"/>
        <v>#NUM!</v>
      </c>
      <c r="AN136" s="51" t="e">
        <f t="shared" si="132"/>
        <v>#NUM!</v>
      </c>
      <c r="AO136" s="51" t="e">
        <f t="shared" si="133"/>
        <v>#NUM!</v>
      </c>
      <c r="AP136" s="60" t="e">
        <f t="shared" si="134"/>
        <v>#NUM!</v>
      </c>
      <c r="AQ136" s="51" t="e">
        <f t="shared" si="135"/>
        <v>#NUM!</v>
      </c>
      <c r="AR136" s="63" t="e">
        <f t="shared" si="136"/>
        <v>#NUM!</v>
      </c>
      <c r="AS136" s="32" t="str">
        <f t="shared" si="111"/>
        <v>-0.000170731707317073</v>
      </c>
      <c r="AT136" s="32" t="str">
        <f t="shared" si="112"/>
        <v>0.000036137946031225i</v>
      </c>
      <c r="AU136" s="32">
        <f t="shared" si="137"/>
        <v>3.6137946031225E-5</v>
      </c>
      <c r="AV136" s="32">
        <f t="shared" si="138"/>
        <v>1.5707963267948966</v>
      </c>
      <c r="AW136" s="32" t="str">
        <f t="shared" si="113"/>
        <v>1+0.00769407903590013i</v>
      </c>
      <c r="AX136" s="32">
        <f t="shared" si="139"/>
        <v>1.0000295989880552</v>
      </c>
      <c r="AY136" s="32">
        <f t="shared" si="140"/>
        <v>7.6939272144101066E-3</v>
      </c>
      <c r="AZ136" s="32" t="str">
        <f t="shared" si="114"/>
        <v>1+0.146187501682103i</v>
      </c>
      <c r="BA136" s="32">
        <f t="shared" si="141"/>
        <v>1.0106289060026212</v>
      </c>
      <c r="BB136" s="32">
        <f t="shared" si="142"/>
        <v>0.14515927366451689</v>
      </c>
      <c r="BC136" s="60" t="str">
        <f t="shared" si="143"/>
        <v>-0.654265707110363+4.72947811090474i</v>
      </c>
      <c r="BD136" s="51">
        <f t="shared" si="144"/>
        <v>13.578591592019638</v>
      </c>
      <c r="BE136" s="63">
        <f t="shared" si="145"/>
        <v>97.876184180894811</v>
      </c>
      <c r="BF136" s="60" t="str">
        <f t="shared" si="146"/>
        <v>32.7098569385957+93.5875289505963i</v>
      </c>
      <c r="BG136" s="66">
        <f t="shared" si="147"/>
        <v>39.924899071914425</v>
      </c>
      <c r="BH136" s="63">
        <f t="shared" si="148"/>
        <v>70.734925197066175</v>
      </c>
      <c r="BI136" s="60" t="e">
        <f t="shared" si="152"/>
        <v>#NUM!</v>
      </c>
      <c r="BJ136" s="66" t="e">
        <f t="shared" si="149"/>
        <v>#NUM!</v>
      </c>
      <c r="BK136" s="63" t="e">
        <f t="shared" si="153"/>
        <v>#NUM!</v>
      </c>
      <c r="BL136" s="51">
        <f t="shared" si="150"/>
        <v>39.924899071914425</v>
      </c>
      <c r="BM136" s="63">
        <f t="shared" si="151"/>
        <v>70.734925197066175</v>
      </c>
    </row>
    <row r="137" spans="14:65" x14ac:dyDescent="0.3">
      <c r="N137" s="11">
        <v>19</v>
      </c>
      <c r="O137" s="52">
        <f t="shared" si="154"/>
        <v>154.8816618912482</v>
      </c>
      <c r="P137" s="50" t="str">
        <f t="shared" si="103"/>
        <v>23.3035714285714</v>
      </c>
      <c r="Q137" s="18" t="str">
        <f t="shared" si="104"/>
        <v>1+0.52133045482856i</v>
      </c>
      <c r="R137" s="18">
        <f t="shared" si="116"/>
        <v>1.1277346510291122</v>
      </c>
      <c r="S137" s="18">
        <f t="shared" si="117"/>
        <v>0.48056599397310495</v>
      </c>
      <c r="T137" s="18" t="str">
        <f t="shared" si="105"/>
        <v>1+0.000973150182346647i</v>
      </c>
      <c r="U137" s="18">
        <f t="shared" si="118"/>
        <v>1.0000004735105266</v>
      </c>
      <c r="V137" s="18">
        <f t="shared" si="119"/>
        <v>9.7314987514884529E-4</v>
      </c>
      <c r="W137" s="32" t="str">
        <f t="shared" si="106"/>
        <v>1-0.00237881155684736i</v>
      </c>
      <c r="X137" s="18">
        <f t="shared" si="120"/>
        <v>1.0000028293682088</v>
      </c>
      <c r="Y137" s="18">
        <f t="shared" si="121"/>
        <v>-2.3788070698337175E-3</v>
      </c>
      <c r="Z137" s="32" t="str">
        <f t="shared" si="107"/>
        <v>0.999999904046683+0.00116751260251583i</v>
      </c>
      <c r="AA137" s="18">
        <f t="shared" si="122"/>
        <v>1.0000005855893548</v>
      </c>
      <c r="AB137" s="18">
        <f t="shared" si="123"/>
        <v>1.1675121840695934E-3</v>
      </c>
      <c r="AC137" s="68" t="str">
        <f t="shared" si="124"/>
        <v>18.2989171632608-9.59974694077566i</v>
      </c>
      <c r="AD137" s="66">
        <f t="shared" si="125"/>
        <v>26.304334798030556</v>
      </c>
      <c r="AE137" s="63">
        <f t="shared" si="126"/>
        <v>-27.6818349775432</v>
      </c>
      <c r="AF137" s="51" t="e">
        <f t="shared" si="127"/>
        <v>#NUM!</v>
      </c>
      <c r="AG137" s="51" t="str">
        <f t="shared" si="108"/>
        <v>1-0.729862636759987i</v>
      </c>
      <c r="AH137" s="51">
        <f t="shared" si="128"/>
        <v>1.238022402276405</v>
      </c>
      <c r="AI137" s="51">
        <f t="shared" si="129"/>
        <v>-0.63048814130659425</v>
      </c>
      <c r="AJ137" s="51" t="str">
        <f t="shared" si="109"/>
        <v>1+0.000973150182346647i</v>
      </c>
      <c r="AK137" s="51">
        <f t="shared" si="130"/>
        <v>1.0000004735105266</v>
      </c>
      <c r="AL137" s="51">
        <f t="shared" si="131"/>
        <v>9.7314987514884529E-4</v>
      </c>
      <c r="AM137" s="51" t="e">
        <f t="shared" si="110"/>
        <v>#NUM!</v>
      </c>
      <c r="AN137" s="51" t="e">
        <f t="shared" si="132"/>
        <v>#NUM!</v>
      </c>
      <c r="AO137" s="51" t="e">
        <f t="shared" si="133"/>
        <v>#NUM!</v>
      </c>
      <c r="AP137" s="60" t="e">
        <f t="shared" si="134"/>
        <v>#NUM!</v>
      </c>
      <c r="AQ137" s="51" t="e">
        <f t="shared" si="135"/>
        <v>#NUM!</v>
      </c>
      <c r="AR137" s="63" t="e">
        <f t="shared" si="136"/>
        <v>#NUM!</v>
      </c>
      <c r="AS137" s="32" t="str">
        <f t="shared" si="111"/>
        <v>-0.000170731707317073</v>
      </c>
      <c r="AT137" s="32" t="str">
        <f t="shared" si="112"/>
        <v>0.0000369797069291726i</v>
      </c>
      <c r="AU137" s="32">
        <f t="shared" si="137"/>
        <v>3.6979706929172603E-5</v>
      </c>
      <c r="AV137" s="32">
        <f t="shared" si="138"/>
        <v>1.5707963267948966</v>
      </c>
      <c r="AW137" s="32" t="str">
        <f t="shared" si="113"/>
        <v>1+0.00787329715949086i</v>
      </c>
      <c r="AX137" s="32">
        <f t="shared" si="139"/>
        <v>1.0000309939237693</v>
      </c>
      <c r="AY137" s="32">
        <f t="shared" si="140"/>
        <v>7.873134480105657E-3</v>
      </c>
      <c r="AZ137" s="32" t="str">
        <f t="shared" si="114"/>
        <v>1+0.149592646030327i</v>
      </c>
      <c r="BA137" s="32">
        <f t="shared" si="141"/>
        <v>1.0111270739854386</v>
      </c>
      <c r="BB137" s="32">
        <f t="shared" si="142"/>
        <v>0.14849153363155423</v>
      </c>
      <c r="BC137" s="60" t="str">
        <f t="shared" si="143"/>
        <v>-0.654263881851006+4.62205387476718i</v>
      </c>
      <c r="BD137" s="51">
        <f t="shared" si="144"/>
        <v>13.382859945434326</v>
      </c>
      <c r="BE137" s="63">
        <f t="shared" si="145"/>
        <v>98.056840793263987</v>
      </c>
      <c r="BF137" s="60" t="str">
        <f t="shared" si="146"/>
        <v>32.3982269674915+90.8593486767524i</v>
      </c>
      <c r="BG137" s="66">
        <f t="shared" si="147"/>
        <v>39.687194743464879</v>
      </c>
      <c r="BH137" s="63">
        <f t="shared" si="148"/>
        <v>70.375005815720797</v>
      </c>
      <c r="BI137" s="60" t="e">
        <f t="shared" si="152"/>
        <v>#NUM!</v>
      </c>
      <c r="BJ137" s="66" t="e">
        <f t="shared" si="149"/>
        <v>#NUM!</v>
      </c>
      <c r="BK137" s="63" t="e">
        <f t="shared" si="153"/>
        <v>#NUM!</v>
      </c>
      <c r="BL137" s="51">
        <f t="shared" si="150"/>
        <v>39.687194743464879</v>
      </c>
      <c r="BM137" s="63">
        <f t="shared" si="151"/>
        <v>70.375005815720797</v>
      </c>
    </row>
    <row r="138" spans="14:65" x14ac:dyDescent="0.3">
      <c r="N138" s="11">
        <v>20</v>
      </c>
      <c r="O138" s="52">
        <f t="shared" si="154"/>
        <v>158.48931924611153</v>
      </c>
      <c r="P138" s="50" t="str">
        <f t="shared" si="103"/>
        <v>23.3035714285714</v>
      </c>
      <c r="Q138" s="18" t="str">
        <f t="shared" si="104"/>
        <v>1+0.533473801088604i</v>
      </c>
      <c r="R138" s="18">
        <f t="shared" si="116"/>
        <v>1.1333994425832066</v>
      </c>
      <c r="S138" s="18">
        <f t="shared" si="117"/>
        <v>0.49006668058424402</v>
      </c>
      <c r="T138" s="18" t="str">
        <f t="shared" si="105"/>
        <v>1+0.000995817762032063i</v>
      </c>
      <c r="U138" s="18">
        <f t="shared" si="118"/>
        <v>1.0000004958263846</v>
      </c>
      <c r="V138" s="18">
        <f t="shared" si="119"/>
        <v>9.958174328636969E-4</v>
      </c>
      <c r="W138" s="32" t="str">
        <f t="shared" si="106"/>
        <v>1-0.00243422119607838i</v>
      </c>
      <c r="X138" s="18">
        <f t="shared" si="120"/>
        <v>1.0000029627120268</v>
      </c>
      <c r="Y138" s="18">
        <f t="shared" si="121"/>
        <v>-2.4342163881574085E-3</v>
      </c>
      <c r="Z138" s="32" t="str">
        <f t="shared" si="107"/>
        <v>0.999999899524543+0.00119470746455392i</v>
      </c>
      <c r="AA138" s="18">
        <f t="shared" si="122"/>
        <v>1.0000006131873231</v>
      </c>
      <c r="AB138" s="18">
        <f t="shared" si="123"/>
        <v>1.1947070161807134E-3</v>
      </c>
      <c r="AC138" s="68" t="str">
        <f t="shared" si="124"/>
        <v>18.1153089303695-9.72540358975167i</v>
      </c>
      <c r="AD138" s="66">
        <f t="shared" si="125"/>
        <v>26.260814513423774</v>
      </c>
      <c r="AE138" s="63">
        <f t="shared" si="126"/>
        <v>-28.229618336639209</v>
      </c>
      <c r="AF138" s="51" t="e">
        <f t="shared" si="127"/>
        <v>#NUM!</v>
      </c>
      <c r="AG138" s="51" t="str">
        <f t="shared" si="108"/>
        <v>1-0.746863321524049i</v>
      </c>
      <c r="AH138" s="51">
        <f t="shared" si="128"/>
        <v>1.2481205154302748</v>
      </c>
      <c r="AI138" s="51">
        <f t="shared" si="129"/>
        <v>-0.64149061025548837</v>
      </c>
      <c r="AJ138" s="51" t="str">
        <f t="shared" si="109"/>
        <v>1+0.000995817762032063i</v>
      </c>
      <c r="AK138" s="51">
        <f t="shared" si="130"/>
        <v>1.0000004958263846</v>
      </c>
      <c r="AL138" s="51">
        <f t="shared" si="131"/>
        <v>9.958174328636969E-4</v>
      </c>
      <c r="AM138" s="51" t="e">
        <f t="shared" si="110"/>
        <v>#NUM!</v>
      </c>
      <c r="AN138" s="51" t="e">
        <f t="shared" si="132"/>
        <v>#NUM!</v>
      </c>
      <c r="AO138" s="51" t="e">
        <f t="shared" si="133"/>
        <v>#NUM!</v>
      </c>
      <c r="AP138" s="60" t="e">
        <f t="shared" si="134"/>
        <v>#NUM!</v>
      </c>
      <c r="AQ138" s="51" t="e">
        <f t="shared" si="135"/>
        <v>#NUM!</v>
      </c>
      <c r="AR138" s="63" t="e">
        <f t="shared" si="136"/>
        <v>#NUM!</v>
      </c>
      <c r="AS138" s="32" t="str">
        <f t="shared" si="111"/>
        <v>-0.000170731707317073</v>
      </c>
      <c r="AT138" s="32" t="str">
        <f t="shared" si="112"/>
        <v>0.0000378410749572184i</v>
      </c>
      <c r="AU138" s="32">
        <f t="shared" si="137"/>
        <v>3.7841074957218403E-5</v>
      </c>
      <c r="AV138" s="32">
        <f t="shared" si="138"/>
        <v>1.5707963267948966</v>
      </c>
      <c r="AW138" s="32" t="str">
        <f t="shared" si="113"/>
        <v>1+0.00805668980945098i</v>
      </c>
      <c r="AX138" s="32">
        <f t="shared" si="139"/>
        <v>1.0000324545986925</v>
      </c>
      <c r="AY138" s="32">
        <f t="shared" si="140"/>
        <v>8.056515495654705E-3</v>
      </c>
      <c r="AZ138" s="32" t="str">
        <f t="shared" si="114"/>
        <v>1+0.153077106379569i</v>
      </c>
      <c r="BA138" s="32">
        <f t="shared" si="141"/>
        <v>1.0116484569738353</v>
      </c>
      <c r="BB138" s="32">
        <f t="shared" si="142"/>
        <v>0.1518979756734776</v>
      </c>
      <c r="BC138" s="60" t="str">
        <f t="shared" si="143"/>
        <v>-0.654261970580741+4.5170803114193i</v>
      </c>
      <c r="BD138" s="51">
        <f t="shared" si="144"/>
        <v>13.187324942952705</v>
      </c>
      <c r="BE138" s="63">
        <f t="shared" si="145"/>
        <v>98.241508587188363</v>
      </c>
      <c r="BF138" s="60" t="str">
        <f t="shared" si="146"/>
        <v>32.0782713574114+88.1912670219742i</v>
      </c>
      <c r="BG138" s="66">
        <f t="shared" si="147"/>
        <v>39.448139456376474</v>
      </c>
      <c r="BH138" s="63">
        <f t="shared" si="148"/>
        <v>70.011890250549158</v>
      </c>
      <c r="BI138" s="60" t="e">
        <f t="shared" si="152"/>
        <v>#NUM!</v>
      </c>
      <c r="BJ138" s="66" t="e">
        <f t="shared" si="149"/>
        <v>#NUM!</v>
      </c>
      <c r="BK138" s="63" t="e">
        <f t="shared" si="153"/>
        <v>#NUM!</v>
      </c>
      <c r="BL138" s="51">
        <f t="shared" si="150"/>
        <v>39.448139456376474</v>
      </c>
      <c r="BM138" s="63">
        <f t="shared" si="151"/>
        <v>70.011890250549158</v>
      </c>
    </row>
    <row r="139" spans="14:65" x14ac:dyDescent="0.3">
      <c r="N139" s="11">
        <v>21</v>
      </c>
      <c r="O139" s="52">
        <f t="shared" si="154"/>
        <v>162.18100973589304</v>
      </c>
      <c r="P139" s="50" t="str">
        <f t="shared" si="103"/>
        <v>23.3035714285714</v>
      </c>
      <c r="Q139" s="18" t="str">
        <f t="shared" si="104"/>
        <v>1+0.545900002219344i</v>
      </c>
      <c r="R139" s="18">
        <f t="shared" si="116"/>
        <v>1.1393010192320026</v>
      </c>
      <c r="S139" s="18">
        <f t="shared" si="117"/>
        <v>0.49968997120138853</v>
      </c>
      <c r="T139" s="18" t="str">
        <f t="shared" si="105"/>
        <v>1+0.00101901333747611i</v>
      </c>
      <c r="U139" s="18">
        <f t="shared" si="118"/>
        <v>1.0000005191939561</v>
      </c>
      <c r="V139" s="18">
        <f t="shared" si="119"/>
        <v>1.0190129847658608E-3</v>
      </c>
      <c r="W139" s="32" t="str">
        <f t="shared" si="106"/>
        <v>1-0.00249092149160827i</v>
      </c>
      <c r="X139" s="18">
        <f t="shared" si="120"/>
        <v>1.0000031023401266</v>
      </c>
      <c r="Y139" s="18">
        <f t="shared" si="121"/>
        <v>-2.4909163398289941E-3</v>
      </c>
      <c r="Z139" s="32" t="str">
        <f t="shared" si="107"/>
        <v>0.99999989478928+0.00122253577630353i</v>
      </c>
      <c r="AA139" s="18">
        <f t="shared" si="122"/>
        <v>1.0000006420859413</v>
      </c>
      <c r="AB139" s="18">
        <f t="shared" si="123"/>
        <v>1.2225352958630004E-3</v>
      </c>
      <c r="AC139" s="68" t="str">
        <f t="shared" si="124"/>
        <v>17.926931430488-9.84910206235468i</v>
      </c>
      <c r="AD139" s="66">
        <f t="shared" si="125"/>
        <v>26.215705854383668</v>
      </c>
      <c r="AE139" s="63">
        <f t="shared" si="126"/>
        <v>-28.784506377708155</v>
      </c>
      <c r="AF139" s="51" t="e">
        <f t="shared" si="127"/>
        <v>#NUM!</v>
      </c>
      <c r="AG139" s="51" t="str">
        <f t="shared" si="108"/>
        <v>1-0.764260003107084i</v>
      </c>
      <c r="AH139" s="51">
        <f t="shared" si="128"/>
        <v>1.2586077039130341</v>
      </c>
      <c r="AI139" s="51">
        <f t="shared" si="129"/>
        <v>-0.65256521881076346</v>
      </c>
      <c r="AJ139" s="51" t="str">
        <f t="shared" si="109"/>
        <v>1+0.00101901333747611i</v>
      </c>
      <c r="AK139" s="51">
        <f t="shared" si="130"/>
        <v>1.0000005191939561</v>
      </c>
      <c r="AL139" s="51">
        <f t="shared" si="131"/>
        <v>1.0190129847658608E-3</v>
      </c>
      <c r="AM139" s="51" t="e">
        <f t="shared" si="110"/>
        <v>#NUM!</v>
      </c>
      <c r="AN139" s="51" t="e">
        <f t="shared" si="132"/>
        <v>#NUM!</v>
      </c>
      <c r="AO139" s="51" t="e">
        <f t="shared" si="133"/>
        <v>#NUM!</v>
      </c>
      <c r="AP139" s="60" t="e">
        <f t="shared" si="134"/>
        <v>#NUM!</v>
      </c>
      <c r="AQ139" s="51" t="e">
        <f t="shared" si="135"/>
        <v>#NUM!</v>
      </c>
      <c r="AR139" s="63" t="e">
        <f t="shared" si="136"/>
        <v>#NUM!</v>
      </c>
      <c r="AS139" s="32" t="str">
        <f t="shared" si="111"/>
        <v>-0.000170731707317073</v>
      </c>
      <c r="AT139" s="32" t="str">
        <f t="shared" si="112"/>
        <v>0.0000387225068240923i</v>
      </c>
      <c r="AU139" s="32">
        <f t="shared" si="137"/>
        <v>3.8722506824092297E-5</v>
      </c>
      <c r="AV139" s="32">
        <f t="shared" si="138"/>
        <v>1.5707963267948966</v>
      </c>
      <c r="AW139" s="32" t="str">
        <f t="shared" si="113"/>
        <v>1+0.00824435422299092i</v>
      </c>
      <c r="AX139" s="32">
        <f t="shared" si="139"/>
        <v>1.0000339841108172</v>
      </c>
      <c r="AY139" s="32">
        <f t="shared" si="140"/>
        <v>8.2441674427358533E-3</v>
      </c>
      <c r="AZ139" s="32" t="str">
        <f t="shared" si="114"/>
        <v>1+0.156642730236828i</v>
      </c>
      <c r="BA139" s="32">
        <f t="shared" si="141"/>
        <v>1.0121941241362982</v>
      </c>
      <c r="BB139" s="32">
        <f t="shared" si="142"/>
        <v>0.15538008954497046</v>
      </c>
      <c r="BC139" s="60" t="str">
        <f t="shared" si="143"/>
        <v>-0.654259969247049+4.41450176239147i</v>
      </c>
      <c r="BD139" s="51">
        <f t="shared" si="144"/>
        <v>12.991995426524777</v>
      </c>
      <c r="BE139" s="63">
        <f t="shared" si="145"/>
        <v>98.430267351223691</v>
      </c>
      <c r="BF139" s="60" t="str">
        <f t="shared" si="146"/>
        <v>31.7500048058332+85.5823436065875i</v>
      </c>
      <c r="BG139" s="66">
        <f t="shared" si="147"/>
        <v>39.207701280908445</v>
      </c>
      <c r="BH139" s="63">
        <f t="shared" si="148"/>
        <v>69.645760973515507</v>
      </c>
      <c r="BI139" s="60" t="e">
        <f t="shared" si="152"/>
        <v>#NUM!</v>
      </c>
      <c r="BJ139" s="66" t="e">
        <f t="shared" si="149"/>
        <v>#NUM!</v>
      </c>
      <c r="BK139" s="63" t="e">
        <f t="shared" si="153"/>
        <v>#NUM!</v>
      </c>
      <c r="BL139" s="51">
        <f t="shared" si="150"/>
        <v>39.207701280908445</v>
      </c>
      <c r="BM139" s="63">
        <f t="shared" si="151"/>
        <v>69.645760973515507</v>
      </c>
    </row>
    <row r="140" spans="14:65" x14ac:dyDescent="0.3">
      <c r="N140" s="11">
        <v>22</v>
      </c>
      <c r="O140" s="52">
        <f t="shared" si="154"/>
        <v>165.95869074375622</v>
      </c>
      <c r="P140" s="50" t="str">
        <f t="shared" si="103"/>
        <v>23.3035714285714</v>
      </c>
      <c r="Q140" s="18" t="str">
        <f t="shared" si="104"/>
        <v>1+0.558615646757104i</v>
      </c>
      <c r="R140" s="18">
        <f t="shared" si="116"/>
        <v>1.1454481397260452</v>
      </c>
      <c r="S140" s="18">
        <f t="shared" si="117"/>
        <v>0.5094338378990545</v>
      </c>
      <c r="T140" s="18" t="str">
        <f t="shared" si="105"/>
        <v>1+0.00104274920727993i</v>
      </c>
      <c r="U140" s="18">
        <f t="shared" si="118"/>
        <v>1.0000005436628068</v>
      </c>
      <c r="V140" s="18">
        <f t="shared" si="119"/>
        <v>1.0427488293440999E-3</v>
      </c>
      <c r="W140" s="32" t="str">
        <f t="shared" si="106"/>
        <v>1-0.00254894250668427i</v>
      </c>
      <c r="X140" s="18">
        <f t="shared" si="120"/>
        <v>1.0000032485486747</v>
      </c>
      <c r="Y140" s="18">
        <f t="shared" si="121"/>
        <v>-2.5489369864542884E-3</v>
      </c>
      <c r="Z140" s="32" t="str">
        <f t="shared" si="107"/>
        <v>0.999999889830852+0.00125101229270391i</v>
      </c>
      <c r="AA140" s="18">
        <f t="shared" si="122"/>
        <v>1.0000006723465102</v>
      </c>
      <c r="AB140" s="18">
        <f t="shared" si="123"/>
        <v>1.2510117779026256E-3</v>
      </c>
      <c r="AC140" s="68" t="str">
        <f t="shared" si="124"/>
        <v>17.7338039140659-9.97063306759754i</v>
      </c>
      <c r="AD140" s="66">
        <f t="shared" si="125"/>
        <v>26.168968167192453</v>
      </c>
      <c r="AE140" s="63">
        <f t="shared" si="126"/>
        <v>-29.346384772317517</v>
      </c>
      <c r="AF140" s="51" t="e">
        <f t="shared" si="127"/>
        <v>#NUM!</v>
      </c>
      <c r="AG140" s="51" t="str">
        <f t="shared" si="108"/>
        <v>1-0.782061905459949i</v>
      </c>
      <c r="AH140" s="51">
        <f t="shared" si="128"/>
        <v>1.2694962874981739</v>
      </c>
      <c r="AI140" s="51">
        <f t="shared" si="129"/>
        <v>-0.66370697316273974</v>
      </c>
      <c r="AJ140" s="51" t="str">
        <f t="shared" si="109"/>
        <v>1+0.00104274920727993i</v>
      </c>
      <c r="AK140" s="51">
        <f t="shared" si="130"/>
        <v>1.0000005436628068</v>
      </c>
      <c r="AL140" s="51">
        <f t="shared" si="131"/>
        <v>1.0427488293440999E-3</v>
      </c>
      <c r="AM140" s="51" t="e">
        <f t="shared" si="110"/>
        <v>#NUM!</v>
      </c>
      <c r="AN140" s="51" t="e">
        <f t="shared" si="132"/>
        <v>#NUM!</v>
      </c>
      <c r="AO140" s="51" t="e">
        <f t="shared" si="133"/>
        <v>#NUM!</v>
      </c>
      <c r="AP140" s="60" t="e">
        <f t="shared" si="134"/>
        <v>#NUM!</v>
      </c>
      <c r="AQ140" s="51" t="e">
        <f t="shared" si="135"/>
        <v>#NUM!</v>
      </c>
      <c r="AR140" s="63" t="e">
        <f t="shared" si="136"/>
        <v>#NUM!</v>
      </c>
      <c r="AS140" s="32" t="str">
        <f t="shared" si="111"/>
        <v>-0.000170731707317073</v>
      </c>
      <c r="AT140" s="32" t="str">
        <f t="shared" si="112"/>
        <v>0.0000396244698766373i</v>
      </c>
      <c r="AU140" s="32">
        <f t="shared" si="137"/>
        <v>3.9624469876637299E-5</v>
      </c>
      <c r="AV140" s="32">
        <f t="shared" si="138"/>
        <v>1.5707963267948966</v>
      </c>
      <c r="AW140" s="32" t="str">
        <f t="shared" si="113"/>
        <v>1+0.00843638990226687i</v>
      </c>
      <c r="AX140" s="32">
        <f t="shared" si="139"/>
        <v>1.0000355857041203</v>
      </c>
      <c r="AY140" s="32">
        <f t="shared" si="140"/>
        <v>8.4361897640023685E-3</v>
      </c>
      <c r="AZ140" s="32" t="str">
        <f t="shared" si="114"/>
        <v>1+0.160291408143071i</v>
      </c>
      <c r="BA140" s="32">
        <f t="shared" si="141"/>
        <v>1.0127651926900374</v>
      </c>
      <c r="BB140" s="32">
        <f t="shared" si="142"/>
        <v>0.15893938356704129</v>
      </c>
      <c r="BC140" s="60" t="str">
        <f t="shared" si="143"/>
        <v>-0.654257873606533+4.31426383907538i</v>
      </c>
      <c r="BD140" s="51">
        <f t="shared" si="144"/>
        <v>12.796880615223037</v>
      </c>
      <c r="BE140" s="63">
        <f t="shared" si="145"/>
        <v>98.623197808153606</v>
      </c>
      <c r="BF140" s="60" t="str">
        <f t="shared" si="146"/>
        <v>31.4134608564533+83.0316741450253i</v>
      </c>
      <c r="BG140" s="66">
        <f t="shared" si="147"/>
        <v>38.965848782415492</v>
      </c>
      <c r="BH140" s="63">
        <f t="shared" si="148"/>
        <v>69.276813035836128</v>
      </c>
      <c r="BI140" s="60" t="e">
        <f t="shared" si="152"/>
        <v>#NUM!</v>
      </c>
      <c r="BJ140" s="66" t="e">
        <f t="shared" si="149"/>
        <v>#NUM!</v>
      </c>
      <c r="BK140" s="63" t="e">
        <f t="shared" si="153"/>
        <v>#NUM!</v>
      </c>
      <c r="BL140" s="51">
        <f t="shared" si="150"/>
        <v>38.965848782415492</v>
      </c>
      <c r="BM140" s="63">
        <f t="shared" si="151"/>
        <v>69.276813035836128</v>
      </c>
    </row>
    <row r="141" spans="14:65" x14ac:dyDescent="0.3">
      <c r="N141" s="11">
        <v>23</v>
      </c>
      <c r="O141" s="52">
        <f t="shared" si="154"/>
        <v>169.82436524617444</v>
      </c>
      <c r="P141" s="50" t="str">
        <f t="shared" si="103"/>
        <v>23.3035714285714</v>
      </c>
      <c r="Q141" s="18" t="str">
        <f t="shared" si="104"/>
        <v>1+0.571627476704924i</v>
      </c>
      <c r="R141" s="18">
        <f t="shared" si="116"/>
        <v>1.1518498044988497</v>
      </c>
      <c r="S141" s="18">
        <f t="shared" si="117"/>
        <v>0.51929604537651752</v>
      </c>
      <c r="T141" s="18" t="str">
        <f t="shared" si="105"/>
        <v>1+0.00106703795651586i</v>
      </c>
      <c r="U141" s="18">
        <f t="shared" si="118"/>
        <v>1.0000005692848384</v>
      </c>
      <c r="V141" s="18">
        <f t="shared" si="119"/>
        <v>1.0670375515503345E-3</v>
      </c>
      <c r="W141" s="32" t="str">
        <f t="shared" si="106"/>
        <v>1-0.00260831500481655i</v>
      </c>
      <c r="X141" s="18">
        <f t="shared" si="120"/>
        <v>1.0000034016477966</v>
      </c>
      <c r="Y141" s="18">
        <f t="shared" si="121"/>
        <v>-2.608309089784642E-3</v>
      </c>
      <c r="Z141" s="32" t="str">
        <f t="shared" si="107"/>
        <v>0.99999988463874+0.00128015211238099i</v>
      </c>
      <c r="AA141" s="18">
        <f t="shared" si="122"/>
        <v>1.0000007040332144</v>
      </c>
      <c r="AB141" s="18">
        <f t="shared" si="123"/>
        <v>1.280151560761496E-3</v>
      </c>
      <c r="AC141" s="68" t="str">
        <f t="shared" si="124"/>
        <v>17.5359569358665-10.0897841771371i</v>
      </c>
      <c r="AD141" s="66">
        <f t="shared" si="125"/>
        <v>26.12056101058576</v>
      </c>
      <c r="AE141" s="63">
        <f t="shared" si="126"/>
        <v>-29.91512735370172</v>
      </c>
      <c r="AF141" s="51" t="e">
        <f t="shared" si="127"/>
        <v>#NUM!</v>
      </c>
      <c r="AG141" s="51" t="str">
        <f t="shared" si="108"/>
        <v>1-0.800278467386897i</v>
      </c>
      <c r="AH141" s="51">
        <f t="shared" si="128"/>
        <v>1.2807988231424641</v>
      </c>
      <c r="AI141" s="51">
        <f t="shared" si="129"/>
        <v>-0.6749107163473187</v>
      </c>
      <c r="AJ141" s="51" t="str">
        <f t="shared" si="109"/>
        <v>1+0.00106703795651586i</v>
      </c>
      <c r="AK141" s="51">
        <f t="shared" si="130"/>
        <v>1.0000005692848384</v>
      </c>
      <c r="AL141" s="51">
        <f t="shared" si="131"/>
        <v>1.0670375515503345E-3</v>
      </c>
      <c r="AM141" s="51" t="e">
        <f t="shared" si="110"/>
        <v>#NUM!</v>
      </c>
      <c r="AN141" s="51" t="e">
        <f t="shared" si="132"/>
        <v>#NUM!</v>
      </c>
      <c r="AO141" s="51" t="e">
        <f t="shared" si="133"/>
        <v>#NUM!</v>
      </c>
      <c r="AP141" s="60" t="e">
        <f t="shared" si="134"/>
        <v>#NUM!</v>
      </c>
      <c r="AQ141" s="51" t="e">
        <f t="shared" si="135"/>
        <v>#NUM!</v>
      </c>
      <c r="AR141" s="63" t="e">
        <f t="shared" si="136"/>
        <v>#NUM!</v>
      </c>
      <c r="AS141" s="32" t="str">
        <f t="shared" si="111"/>
        <v>-0.000170731707317073</v>
      </c>
      <c r="AT141" s="32" t="str">
        <f t="shared" si="112"/>
        <v>0.0000405474423476028i</v>
      </c>
      <c r="AU141" s="32">
        <f t="shared" si="137"/>
        <v>4.0547442347602798E-5</v>
      </c>
      <c r="AV141" s="32">
        <f t="shared" si="138"/>
        <v>1.5707963267948966</v>
      </c>
      <c r="AW141" s="32" t="str">
        <f t="shared" si="113"/>
        <v>1+0.00863289866713778i</v>
      </c>
      <c r="AX141" s="32">
        <f t="shared" si="139"/>
        <v>1.0000372627754412</v>
      </c>
      <c r="AY141" s="32">
        <f t="shared" si="140"/>
        <v>8.6326842155552228E-3</v>
      </c>
      <c r="AZ141" s="32" t="str">
        <f t="shared" si="114"/>
        <v>1+0.164025074675618i</v>
      </c>
      <c r="BA141" s="32">
        <f t="shared" si="141"/>
        <v>1.0133628299490476</v>
      </c>
      <c r="BB141" s="32">
        <f t="shared" si="142"/>
        <v>0.16257738401068544</v>
      </c>
      <c r="BC141" s="60" t="str">
        <f t="shared" si="143"/>
        <v>-0.654255679215907+4.21631339388606i</v>
      </c>
      <c r="BD141" s="51">
        <f t="shared" si="144"/>
        <v>12.601990119407967</v>
      </c>
      <c r="BE141" s="63">
        <f t="shared" si="145"/>
        <v>98.820381576669419</v>
      </c>
      <c r="BF141" s="60" t="str">
        <f t="shared" si="146"/>
        <v>31.0686927517066+80.5383887032578i</v>
      </c>
      <c r="BG141" s="66">
        <f t="shared" si="147"/>
        <v>38.722551129993725</v>
      </c>
      <c r="BH141" s="63">
        <f t="shared" si="148"/>
        <v>68.90525422296767</v>
      </c>
      <c r="BI141" s="60" t="e">
        <f t="shared" si="152"/>
        <v>#NUM!</v>
      </c>
      <c r="BJ141" s="66" t="e">
        <f t="shared" si="149"/>
        <v>#NUM!</v>
      </c>
      <c r="BK141" s="63" t="e">
        <f t="shared" si="153"/>
        <v>#NUM!</v>
      </c>
      <c r="BL141" s="51">
        <f t="shared" si="150"/>
        <v>38.722551129993725</v>
      </c>
      <c r="BM141" s="63">
        <f t="shared" si="151"/>
        <v>68.90525422296767</v>
      </c>
    </row>
    <row r="142" spans="14:65" x14ac:dyDescent="0.3">
      <c r="N142" s="11">
        <v>24</v>
      </c>
      <c r="O142" s="52">
        <f t="shared" si="154"/>
        <v>173.78008287493768</v>
      </c>
      <c r="P142" s="50" t="str">
        <f t="shared" si="103"/>
        <v>23.3035714285714</v>
      </c>
      <c r="Q142" s="18" t="str">
        <f t="shared" si="104"/>
        <v>1+0.584942391107281i</v>
      </c>
      <c r="R142" s="18">
        <f t="shared" si="116"/>
        <v>1.1585152570917239</v>
      </c>
      <c r="S142" s="18">
        <f t="shared" si="117"/>
        <v>0.52927414819755958</v>
      </c>
      <c r="T142" s="18" t="str">
        <f t="shared" si="105"/>
        <v>1+0.00109189246340026i</v>
      </c>
      <c r="U142" s="18">
        <f t="shared" si="118"/>
        <v>1.0000005961143981</v>
      </c>
      <c r="V142" s="18">
        <f t="shared" si="119"/>
        <v>1.0918920294718953E-3</v>
      </c>
      <c r="W142" s="32" t="str">
        <f t="shared" si="106"/>
        <v>1-0.00266907046608953i</v>
      </c>
      <c r="X142" s="18">
        <f t="shared" si="120"/>
        <v>1.0000035619622327</v>
      </c>
      <c r="Y142" s="18">
        <f t="shared" si="121"/>
        <v>-2.6690641280198691E-3</v>
      </c>
      <c r="Z142" s="32" t="str">
        <f t="shared" si="107"/>
        <v>0.999999879201931+0.00130997068565288i</v>
      </c>
      <c r="AA142" s="18">
        <f t="shared" si="122"/>
        <v>1.0000007372132653</v>
      </c>
      <c r="AB142" s="18">
        <f t="shared" si="123"/>
        <v>1.309970094581967E-3</v>
      </c>
      <c r="AC142" s="68" t="str">
        <f t="shared" si="124"/>
        <v>17.3334328089038-10.2063404943467i</v>
      </c>
      <c r="AD142" s="66">
        <f t="shared" si="125"/>
        <v>26.070444254264832</v>
      </c>
      <c r="AE142" s="63">
        <f t="shared" si="126"/>
        <v>-30.490595959622251</v>
      </c>
      <c r="AF142" s="51" t="e">
        <f t="shared" si="127"/>
        <v>#NUM!</v>
      </c>
      <c r="AG142" s="51" t="str">
        <f t="shared" si="108"/>
        <v>1-0.818919347550197i</v>
      </c>
      <c r="AH142" s="51">
        <f t="shared" si="128"/>
        <v>1.2925281032890699</v>
      </c>
      <c r="AI142" s="51">
        <f t="shared" si="129"/>
        <v>-0.68617113863966861</v>
      </c>
      <c r="AJ142" s="51" t="str">
        <f t="shared" si="109"/>
        <v>1+0.00109189246340026i</v>
      </c>
      <c r="AK142" s="51">
        <f t="shared" si="130"/>
        <v>1.0000005961143981</v>
      </c>
      <c r="AL142" s="51">
        <f t="shared" si="131"/>
        <v>1.0918920294718953E-3</v>
      </c>
      <c r="AM142" s="51" t="e">
        <f t="shared" si="110"/>
        <v>#NUM!</v>
      </c>
      <c r="AN142" s="51" t="e">
        <f t="shared" si="132"/>
        <v>#NUM!</v>
      </c>
      <c r="AO142" s="51" t="e">
        <f t="shared" si="133"/>
        <v>#NUM!</v>
      </c>
      <c r="AP142" s="60" t="e">
        <f t="shared" si="134"/>
        <v>#NUM!</v>
      </c>
      <c r="AQ142" s="51" t="e">
        <f t="shared" si="135"/>
        <v>#NUM!</v>
      </c>
      <c r="AR142" s="63" t="e">
        <f t="shared" si="136"/>
        <v>#NUM!</v>
      </c>
      <c r="AS142" s="32" t="str">
        <f t="shared" si="111"/>
        <v>-0.000170731707317073</v>
      </c>
      <c r="AT142" s="32" t="str">
        <f t="shared" si="112"/>
        <v>0.0000414919136092099i</v>
      </c>
      <c r="AU142" s="32">
        <f t="shared" si="137"/>
        <v>4.1491913609209898E-5</v>
      </c>
      <c r="AV142" s="32">
        <f t="shared" si="138"/>
        <v>1.5707963267948966</v>
      </c>
      <c r="AW142" s="32" t="str">
        <f t="shared" si="113"/>
        <v>1+0.00883398470915199i</v>
      </c>
      <c r="AX142" s="32">
        <f t="shared" si="139"/>
        <v>1.0000390188816841</v>
      </c>
      <c r="AY142" s="32">
        <f t="shared" si="140"/>
        <v>8.8337549206254674E-3</v>
      </c>
      <c r="AZ142" s="32" t="str">
        <f t="shared" si="114"/>
        <v>1+0.167845709473888i</v>
      </c>
      <c r="BA142" s="32">
        <f t="shared" si="141"/>
        <v>1.0139882554491413</v>
      </c>
      <c r="BB142" s="32">
        <f t="shared" si="142"/>
        <v>0.16629563440325182</v>
      </c>
      <c r="BC142" s="60" t="str">
        <f t="shared" si="143"/>
        <v>-0.654253381422618+4.12059849208172i</v>
      </c>
      <c r="BD142" s="51">
        <f t="shared" si="144"/>
        <v>12.407333955242692</v>
      </c>
      <c r="BE142" s="63">
        <f t="shared" si="145"/>
        <v>99.021901128552102</v>
      </c>
      <c r="BF142" s="60" t="str">
        <f t="shared" si="146"/>
        <v>30.7157742237905+78.1016498753457i</v>
      </c>
      <c r="BG142" s="66">
        <f t="shared" si="147"/>
        <v>38.47777820950752</v>
      </c>
      <c r="BH142" s="63">
        <f t="shared" si="148"/>
        <v>68.531305168929876</v>
      </c>
      <c r="BI142" s="60" t="e">
        <f t="shared" si="152"/>
        <v>#NUM!</v>
      </c>
      <c r="BJ142" s="66" t="e">
        <f t="shared" si="149"/>
        <v>#NUM!</v>
      </c>
      <c r="BK142" s="63" t="e">
        <f t="shared" si="153"/>
        <v>#NUM!</v>
      </c>
      <c r="BL142" s="51">
        <f t="shared" si="150"/>
        <v>38.47777820950752</v>
      </c>
      <c r="BM142" s="63">
        <f t="shared" si="151"/>
        <v>68.531305168929876</v>
      </c>
    </row>
    <row r="143" spans="14:65" x14ac:dyDescent="0.3">
      <c r="N143" s="11">
        <v>25</v>
      </c>
      <c r="O143" s="52">
        <f t="shared" si="154"/>
        <v>177.82794100389242</v>
      </c>
      <c r="P143" s="50" t="str">
        <f t="shared" si="103"/>
        <v>23.3035714285714</v>
      </c>
      <c r="Q143" s="18" t="str">
        <f t="shared" si="104"/>
        <v>1+0.598567449708031i</v>
      </c>
      <c r="R143" s="18">
        <f t="shared" si="116"/>
        <v>1.1654539852992807</v>
      </c>
      <c r="S143" s="18">
        <f t="shared" si="117"/>
        <v>0.53936548871454471</v>
      </c>
      <c r="T143" s="18" t="str">
        <f t="shared" si="105"/>
        <v>1+0.00111732590612166i</v>
      </c>
      <c r="U143" s="18">
        <f t="shared" si="118"/>
        <v>1.0000006242083954</v>
      </c>
      <c r="V143" s="18">
        <f t="shared" si="119"/>
        <v>1.1173254411590559E-3</v>
      </c>
      <c r="W143" s="32" t="str">
        <f t="shared" si="106"/>
        <v>1-0.00273124110385295i</v>
      </c>
      <c r="X143" s="18">
        <f t="shared" si="120"/>
        <v>1.0000037298320279</v>
      </c>
      <c r="Y143" s="18">
        <f t="shared" si="121"/>
        <v>-2.7312343124903178E-3</v>
      </c>
      <c r="Z143" s="32" t="str">
        <f t="shared" si="107"/>
        <v>0.999999873508894+0.00134048382272181i</v>
      </c>
      <c r="AA143" s="18">
        <f t="shared" si="122"/>
        <v>1.0000007719570434</v>
      </c>
      <c r="AB143" s="18">
        <f t="shared" si="123"/>
        <v>1.3404831893779412E-3</v>
      </c>
      <c r="AC143" s="68" t="str">
        <f t="shared" si="124"/>
        <v>17.1262860169089-10.320085376989i</v>
      </c>
      <c r="AD143" s="66">
        <f t="shared" si="125"/>
        <v>26.018578181113273</v>
      </c>
      <c r="AE143" s="63">
        <f t="shared" si="126"/>
        <v>-31.072640314459917</v>
      </c>
      <c r="AF143" s="51" t="e">
        <f t="shared" si="127"/>
        <v>#NUM!</v>
      </c>
      <c r="AG143" s="51" t="str">
        <f t="shared" si="108"/>
        <v>1-0.837994429591247i</v>
      </c>
      <c r="AH143" s="51">
        <f t="shared" si="128"/>
        <v>1.3046971541418948</v>
      </c>
      <c r="AI143" s="51">
        <f t="shared" si="129"/>
        <v>-0.69748278883357462</v>
      </c>
      <c r="AJ143" s="51" t="str">
        <f t="shared" si="109"/>
        <v>1+0.00111732590612166i</v>
      </c>
      <c r="AK143" s="51">
        <f t="shared" si="130"/>
        <v>1.0000006242083954</v>
      </c>
      <c r="AL143" s="51">
        <f t="shared" si="131"/>
        <v>1.1173254411590559E-3</v>
      </c>
      <c r="AM143" s="51" t="e">
        <f t="shared" si="110"/>
        <v>#NUM!</v>
      </c>
      <c r="AN143" s="51" t="e">
        <f t="shared" si="132"/>
        <v>#NUM!</v>
      </c>
      <c r="AO143" s="51" t="e">
        <f t="shared" si="133"/>
        <v>#NUM!</v>
      </c>
      <c r="AP143" s="60" t="e">
        <f t="shared" si="134"/>
        <v>#NUM!</v>
      </c>
      <c r="AQ143" s="51" t="e">
        <f t="shared" si="135"/>
        <v>#NUM!</v>
      </c>
      <c r="AR143" s="63" t="e">
        <f t="shared" si="136"/>
        <v>#NUM!</v>
      </c>
      <c r="AS143" s="32" t="str">
        <f t="shared" si="111"/>
        <v>-0.000170731707317073</v>
      </c>
      <c r="AT143" s="32" t="str">
        <f t="shared" si="112"/>
        <v>0.0000424583844326229i</v>
      </c>
      <c r="AU143" s="32">
        <f t="shared" si="137"/>
        <v>4.2458384432622901E-5</v>
      </c>
      <c r="AV143" s="32">
        <f t="shared" si="138"/>
        <v>1.5707963267948966</v>
      </c>
      <c r="AW143" s="32" t="str">
        <f t="shared" si="113"/>
        <v>1+0.0090397546467906i</v>
      </c>
      <c r="AX143" s="32">
        <f t="shared" si="139"/>
        <v>1.0000408577473594</v>
      </c>
      <c r="AY143" s="32">
        <f t="shared" si="140"/>
        <v>9.0395084244916206E-3</v>
      </c>
      <c r="AZ143" s="32" t="str">
        <f t="shared" si="114"/>
        <v>1+0.171755338289022i</v>
      </c>
      <c r="BA143" s="32">
        <f t="shared" si="141"/>
        <v>1.0146427431518823</v>
      </c>
      <c r="BB143" s="32">
        <f t="shared" si="142"/>
        <v>0.17009569475252842</v>
      </c>
      <c r="BC143" s="60" t="str">
        <f t="shared" si="143"/>
        <v>-0.654250975354969+4.02706838422683i</v>
      </c>
      <c r="BD143" s="51">
        <f t="shared" si="144"/>
        <v>12.212922559547314</v>
      </c>
      <c r="BE143" s="63">
        <f t="shared" si="145"/>
        <v>99.22783974106909</v>
      </c>
      <c r="BF143" s="60" t="str">
        <f t="shared" si="146"/>
        <v>30.3548002134232+75.7206508815615i</v>
      </c>
      <c r="BG143" s="66">
        <f t="shared" si="147"/>
        <v>38.231500740660593</v>
      </c>
      <c r="BH143" s="63">
        <f t="shared" si="148"/>
        <v>68.155199426609201</v>
      </c>
      <c r="BI143" s="60" t="e">
        <f t="shared" si="152"/>
        <v>#NUM!</v>
      </c>
      <c r="BJ143" s="66" t="e">
        <f t="shared" si="149"/>
        <v>#NUM!</v>
      </c>
      <c r="BK143" s="63" t="e">
        <f t="shared" si="153"/>
        <v>#NUM!</v>
      </c>
      <c r="BL143" s="51">
        <f t="shared" si="150"/>
        <v>38.231500740660593</v>
      </c>
      <c r="BM143" s="63">
        <f t="shared" si="151"/>
        <v>68.155199426609201</v>
      </c>
    </row>
    <row r="144" spans="14:65" x14ac:dyDescent="0.3">
      <c r="N144" s="11">
        <v>26</v>
      </c>
      <c r="O144" s="52">
        <f t="shared" si="154"/>
        <v>181.9700858609983</v>
      </c>
      <c r="P144" s="50" t="str">
        <f t="shared" si="103"/>
        <v>23.3035714285714</v>
      </c>
      <c r="Q144" s="18" t="str">
        <f t="shared" si="104"/>
        <v>1+0.612509876693586i</v>
      </c>
      <c r="R144" s="18">
        <f t="shared" si="116"/>
        <v>1.1726757220336712</v>
      </c>
      <c r="S144" s="18">
        <f t="shared" si="117"/>
        <v>0.54956719572850188</v>
      </c>
      <c r="T144" s="18" t="str">
        <f t="shared" si="105"/>
        <v>1+0.00114335176982803i</v>
      </c>
      <c r="U144" s="18">
        <f t="shared" si="118"/>
        <v>1.0000006536264212</v>
      </c>
      <c r="V144" s="18">
        <f t="shared" si="119"/>
        <v>1.1433512716116411E-3</v>
      </c>
      <c r="W144" s="32" t="str">
        <f t="shared" si="106"/>
        <v>1-0.00279485988180185i</v>
      </c>
      <c r="X144" s="18">
        <f t="shared" si="120"/>
        <v>1.0000039056132526</v>
      </c>
      <c r="Y144" s="18">
        <f t="shared" si="121"/>
        <v>-2.7948526047272162E-3</v>
      </c>
      <c r="Z144" s="32" t="str">
        <f t="shared" si="107"/>
        <v>0.999999867547551+0.00137170770205693i</v>
      </c>
      <c r="AA144" s="18">
        <f t="shared" si="122"/>
        <v>1.000000808338243</v>
      </c>
      <c r="AB144" s="18">
        <f t="shared" si="123"/>
        <v>1.3717070234167783E-3</v>
      </c>
      <c r="AC144" s="68" t="str">
        <f t="shared" si="124"/>
        <v>16.9145835791063-10.4308012111794i</v>
      </c>
      <c r="AD144" s="66">
        <f t="shared" si="125"/>
        <v>25.964923592736881</v>
      </c>
      <c r="AE144" s="63">
        <f t="shared" si="126"/>
        <v>-31.66109795350123</v>
      </c>
      <c r="AF144" s="51" t="e">
        <f t="shared" si="127"/>
        <v>#NUM!</v>
      </c>
      <c r="AG144" s="51" t="str">
        <f t="shared" si="108"/>
        <v>1-0.857513827371025i</v>
      </c>
      <c r="AH144" s="51">
        <f t="shared" si="128"/>
        <v>1.3173192339491988</v>
      </c>
      <c r="AI144" s="51">
        <f t="shared" si="129"/>
        <v>-0.70884008635728502</v>
      </c>
      <c r="AJ144" s="51" t="str">
        <f t="shared" si="109"/>
        <v>1+0.00114335176982803i</v>
      </c>
      <c r="AK144" s="51">
        <f t="shared" si="130"/>
        <v>1.0000006536264212</v>
      </c>
      <c r="AL144" s="51">
        <f t="shared" si="131"/>
        <v>1.1433512716116411E-3</v>
      </c>
      <c r="AM144" s="51" t="e">
        <f t="shared" si="110"/>
        <v>#NUM!</v>
      </c>
      <c r="AN144" s="51" t="e">
        <f t="shared" si="132"/>
        <v>#NUM!</v>
      </c>
      <c r="AO144" s="51" t="e">
        <f t="shared" si="133"/>
        <v>#NUM!</v>
      </c>
      <c r="AP144" s="60" t="e">
        <f t="shared" si="134"/>
        <v>#NUM!</v>
      </c>
      <c r="AQ144" s="51" t="e">
        <f t="shared" si="135"/>
        <v>#NUM!</v>
      </c>
      <c r="AR144" s="63" t="e">
        <f t="shared" si="136"/>
        <v>#NUM!</v>
      </c>
      <c r="AS144" s="32" t="str">
        <f t="shared" si="111"/>
        <v>-0.000170731707317073</v>
      </c>
      <c r="AT144" s="32" t="str">
        <f t="shared" si="112"/>
        <v>0.0000434473672534652i</v>
      </c>
      <c r="AU144" s="32">
        <f t="shared" si="137"/>
        <v>4.34473672534652E-5</v>
      </c>
      <c r="AV144" s="32">
        <f t="shared" si="138"/>
        <v>1.5707963267948966</v>
      </c>
      <c r="AW144" s="32" t="str">
        <f t="shared" si="113"/>
        <v>1+0.00925031758199813i</v>
      </c>
      <c r="AX144" s="32">
        <f t="shared" si="139"/>
        <v>1.0000427832724796</v>
      </c>
      <c r="AY144" s="32">
        <f t="shared" si="140"/>
        <v>9.2500537506609928E-3</v>
      </c>
      <c r="AZ144" s="32" t="str">
        <f t="shared" si="114"/>
        <v>1+0.175756034057965i</v>
      </c>
      <c r="BA144" s="32">
        <f t="shared" si="141"/>
        <v>1.0153276237292987</v>
      </c>
      <c r="BB144" s="32">
        <f t="shared" si="142"/>
        <v>0.17397914068341352</v>
      </c>
      <c r="BC144" s="60" t="str">
        <f t="shared" si="143"/>
        <v>-0.654248455911804+3.93567347928332i</v>
      </c>
      <c r="BD144" s="51">
        <f t="shared" si="144"/>
        <v>12.018766804979391</v>
      </c>
      <c r="BE144" s="63">
        <f t="shared" si="145"/>
        <v>99.438281444290354</v>
      </c>
      <c r="BF144" s="60" t="str">
        <f t="shared" si="146"/>
        <v>29.9858875054936+73.3946135917469i</v>
      </c>
      <c r="BG144" s="66">
        <f t="shared" si="147"/>
        <v>37.983690397716273</v>
      </c>
      <c r="BH144" s="63">
        <f t="shared" si="148"/>
        <v>67.777183490789156</v>
      </c>
      <c r="BI144" s="60" t="e">
        <f t="shared" si="152"/>
        <v>#NUM!</v>
      </c>
      <c r="BJ144" s="66" t="e">
        <f t="shared" si="149"/>
        <v>#NUM!</v>
      </c>
      <c r="BK144" s="63" t="e">
        <f t="shared" si="153"/>
        <v>#NUM!</v>
      </c>
      <c r="BL144" s="51">
        <f t="shared" si="150"/>
        <v>37.983690397716273</v>
      </c>
      <c r="BM144" s="63">
        <f t="shared" si="151"/>
        <v>67.777183490789156</v>
      </c>
    </row>
    <row r="145" spans="14:65" x14ac:dyDescent="0.3">
      <c r="N145" s="11">
        <v>27</v>
      </c>
      <c r="O145" s="52">
        <f t="shared" si="154"/>
        <v>186.20871366628685</v>
      </c>
      <c r="P145" s="50" t="str">
        <f t="shared" si="103"/>
        <v>23.3035714285714</v>
      </c>
      <c r="Q145" s="18" t="str">
        <f t="shared" si="104"/>
        <v>1+0.626777064523295i</v>
      </c>
      <c r="R145" s="18">
        <f t="shared" si="116"/>
        <v>1.1801904459079637</v>
      </c>
      <c r="S145" s="18">
        <f t="shared" si="117"/>
        <v>0.55987618393419802</v>
      </c>
      <c r="T145" s="18" t="str">
        <f t="shared" si="105"/>
        <v>1+0.00116998385377682i</v>
      </c>
      <c r="U145" s="18">
        <f t="shared" si="118"/>
        <v>1.0000006844308749</v>
      </c>
      <c r="V145" s="18">
        <f t="shared" si="119"/>
        <v>1.1699833199283606E-3</v>
      </c>
      <c r="W145" s="32" t="str">
        <f t="shared" si="106"/>
        <v>1-0.00285996053145445i</v>
      </c>
      <c r="X145" s="18">
        <f t="shared" si="120"/>
        <v>1.0000040896787581</v>
      </c>
      <c r="Y145" s="18">
        <f t="shared" si="121"/>
        <v>-2.8599527339302163E-3</v>
      </c>
      <c r="Z145" s="32" t="str">
        <f t="shared" si="107"/>
        <v>0.99999986130526+0.0014036588789724i</v>
      </c>
      <c r="AA145" s="18">
        <f t="shared" si="122"/>
        <v>1.0000008464340355</v>
      </c>
      <c r="AB145" s="18">
        <f t="shared" si="123"/>
        <v>1.4036581517964085E-3</v>
      </c>
      <c r="AC145" s="68" t="str">
        <f t="shared" si="124"/>
        <v>16.6984053611355-10.5382702335873i</v>
      </c>
      <c r="AD145" s="66">
        <f t="shared" si="125"/>
        <v>25.909441917894249</v>
      </c>
      <c r="AE145" s="63">
        <f t="shared" si="126"/>
        <v>-32.255794192225316</v>
      </c>
      <c r="AF145" s="51" t="e">
        <f t="shared" si="127"/>
        <v>#NUM!</v>
      </c>
      <c r="AG145" s="51" t="str">
        <f t="shared" si="108"/>
        <v>1-0.877487890332617i</v>
      </c>
      <c r="AH145" s="51">
        <f t="shared" si="128"/>
        <v>1.3304078313360856</v>
      </c>
      <c r="AI145" s="51">
        <f t="shared" si="129"/>
        <v>-0.72023733416766855</v>
      </c>
      <c r="AJ145" s="51" t="str">
        <f t="shared" si="109"/>
        <v>1+0.00116998385377682i</v>
      </c>
      <c r="AK145" s="51">
        <f t="shared" si="130"/>
        <v>1.0000006844308749</v>
      </c>
      <c r="AL145" s="51">
        <f t="shared" si="131"/>
        <v>1.1699833199283606E-3</v>
      </c>
      <c r="AM145" s="51" t="e">
        <f t="shared" si="110"/>
        <v>#NUM!</v>
      </c>
      <c r="AN145" s="51" t="e">
        <f t="shared" si="132"/>
        <v>#NUM!</v>
      </c>
      <c r="AO145" s="51" t="e">
        <f t="shared" si="133"/>
        <v>#NUM!</v>
      </c>
      <c r="AP145" s="60" t="e">
        <f t="shared" si="134"/>
        <v>#NUM!</v>
      </c>
      <c r="AQ145" s="51" t="e">
        <f t="shared" si="135"/>
        <v>#NUM!</v>
      </c>
      <c r="AR145" s="63" t="e">
        <f t="shared" si="136"/>
        <v>#NUM!</v>
      </c>
      <c r="AS145" s="32" t="str">
        <f t="shared" si="111"/>
        <v>-0.000170731707317073</v>
      </c>
      <c r="AT145" s="32" t="str">
        <f t="shared" si="112"/>
        <v>0.0000444593864435193i</v>
      </c>
      <c r="AU145" s="32">
        <f t="shared" si="137"/>
        <v>4.4459386443519297E-5</v>
      </c>
      <c r="AV145" s="32">
        <f t="shared" si="138"/>
        <v>1.5707963267948966</v>
      </c>
      <c r="AW145" s="32" t="str">
        <f t="shared" si="113"/>
        <v>1+0.00946578515803013i</v>
      </c>
      <c r="AX145" s="32">
        <f t="shared" si="139"/>
        <v>1.0000447995408295</v>
      </c>
      <c r="AY145" s="32">
        <f t="shared" si="140"/>
        <v>9.4655024583430395E-3</v>
      </c>
      <c r="AZ145" s="32" t="str">
        <f t="shared" si="114"/>
        <v>1+0.179849918002573i</v>
      </c>
      <c r="BA145" s="32">
        <f t="shared" si="141"/>
        <v>1.0160442869312007</v>
      </c>
      <c r="BB145" s="32">
        <f t="shared" si="142"/>
        <v>0.17794756248181684</v>
      </c>
      <c r="BC145" s="60" t="str">
        <f t="shared" si="143"/>
        <v>-0.654245817751743+3.84636531831621i</v>
      </c>
      <c r="BD145" s="51">
        <f t="shared" si="144"/>
        <v>11.824878015526465</v>
      </c>
      <c r="BE145" s="63">
        <f t="shared" si="145"/>
        <v>99.65331096301486</v>
      </c>
      <c r="BF145" s="60" t="str">
        <f t="shared" si="146"/>
        <v>29.6091752708681+71.1227864789192i</v>
      </c>
      <c r="BG145" s="66">
        <f t="shared" si="147"/>
        <v>37.734319933420714</v>
      </c>
      <c r="BH145" s="63">
        <f t="shared" si="148"/>
        <v>67.397516770789537</v>
      </c>
      <c r="BI145" s="60" t="e">
        <f t="shared" si="152"/>
        <v>#NUM!</v>
      </c>
      <c r="BJ145" s="66" t="e">
        <f t="shared" si="149"/>
        <v>#NUM!</v>
      </c>
      <c r="BK145" s="63" t="e">
        <f t="shared" si="153"/>
        <v>#NUM!</v>
      </c>
      <c r="BL145" s="51">
        <f t="shared" si="150"/>
        <v>37.734319933420714</v>
      </c>
      <c r="BM145" s="63">
        <f t="shared" si="151"/>
        <v>67.397516770789537</v>
      </c>
    </row>
    <row r="146" spans="14:65" x14ac:dyDescent="0.3">
      <c r="N146" s="11">
        <v>28</v>
      </c>
      <c r="O146" s="52">
        <f t="shared" si="154"/>
        <v>190.54607179632498</v>
      </c>
      <c r="P146" s="50" t="str">
        <f t="shared" si="103"/>
        <v>23.3035714285714</v>
      </c>
      <c r="Q146" s="18" t="str">
        <f t="shared" si="104"/>
        <v>1+0.641376577848995i</v>
      </c>
      <c r="R146" s="18">
        <f t="shared" si="116"/>
        <v>1.1880083815416824</v>
      </c>
      <c r="S146" s="18">
        <f t="shared" si="117"/>
        <v>0.57028915419576387</v>
      </c>
      <c r="T146" s="18" t="str">
        <f t="shared" si="105"/>
        <v>1+0.00119723627865146i</v>
      </c>
      <c r="U146" s="18">
        <f t="shared" si="118"/>
        <v>1.0000007166870966</v>
      </c>
      <c r="V146" s="18">
        <f t="shared" si="119"/>
        <v>1.197235706622552E-3</v>
      </c>
      <c r="W146" s="32" t="str">
        <f t="shared" si="106"/>
        <v>1-0.0029265775700369i</v>
      </c>
      <c r="X146" s="18">
        <f t="shared" si="120"/>
        <v>1.0000042824189672</v>
      </c>
      <c r="Y146" s="18">
        <f t="shared" si="121"/>
        <v>-2.9265692148410833E-3</v>
      </c>
      <c r="Z146" s="32" t="str">
        <f t="shared" si="107"/>
        <v>0.999999854768778+0.00143635429440512i</v>
      </c>
      <c r="AA146" s="18">
        <f t="shared" si="122"/>
        <v>1.0000008863252252</v>
      </c>
      <c r="AB146" s="18">
        <f t="shared" si="123"/>
        <v>1.4363535152220443E-3</v>
      </c>
      <c r="AC146" s="68" t="str">
        <f t="shared" si="124"/>
        <v>16.4778443260893-10.6422753980554i</v>
      </c>
      <c r="AD146" s="66">
        <f t="shared" si="125"/>
        <v>25.852095323330669</v>
      </c>
      <c r="AE146" s="63">
        <f t="shared" si="126"/>
        <v>-32.856542143205139</v>
      </c>
      <c r="AF146" s="51" t="e">
        <f t="shared" si="127"/>
        <v>#NUM!</v>
      </c>
      <c r="AG146" s="51" t="str">
        <f t="shared" si="108"/>
        <v>1-0.897927208988597i</v>
      </c>
      <c r="AH146" s="51">
        <f t="shared" si="128"/>
        <v>1.3439766637267374</v>
      </c>
      <c r="AI146" s="51">
        <f t="shared" si="129"/>
        <v>-0.7316687323559905</v>
      </c>
      <c r="AJ146" s="51" t="str">
        <f t="shared" si="109"/>
        <v>1+0.00119723627865146i</v>
      </c>
      <c r="AK146" s="51">
        <f t="shared" si="130"/>
        <v>1.0000007166870966</v>
      </c>
      <c r="AL146" s="51">
        <f t="shared" si="131"/>
        <v>1.197235706622552E-3</v>
      </c>
      <c r="AM146" s="51" t="e">
        <f t="shared" si="110"/>
        <v>#NUM!</v>
      </c>
      <c r="AN146" s="51" t="e">
        <f t="shared" si="132"/>
        <v>#NUM!</v>
      </c>
      <c r="AO146" s="51" t="e">
        <f t="shared" si="133"/>
        <v>#NUM!</v>
      </c>
      <c r="AP146" s="60" t="e">
        <f t="shared" si="134"/>
        <v>#NUM!</v>
      </c>
      <c r="AQ146" s="51" t="e">
        <f t="shared" si="135"/>
        <v>#NUM!</v>
      </c>
      <c r="AR146" s="63" t="e">
        <f t="shared" si="136"/>
        <v>#NUM!</v>
      </c>
      <c r="AS146" s="32" t="str">
        <f t="shared" si="111"/>
        <v>-0.000170731707317073</v>
      </c>
      <c r="AT146" s="32" t="str">
        <f t="shared" si="112"/>
        <v>0.0000454949785887553i</v>
      </c>
      <c r="AU146" s="32">
        <f t="shared" si="137"/>
        <v>4.5494978588755299E-5</v>
      </c>
      <c r="AV146" s="32">
        <f t="shared" si="138"/>
        <v>1.5707963267948966</v>
      </c>
      <c r="AW146" s="32" t="str">
        <f t="shared" si="113"/>
        <v>1+0.00968627161864748i</v>
      </c>
      <c r="AX146" s="32">
        <f t="shared" si="139"/>
        <v>1.0000469108286223</v>
      </c>
      <c r="AY146" s="32">
        <f t="shared" si="140"/>
        <v>9.6859687012426122E-3</v>
      </c>
      <c r="AZ146" s="32" t="str">
        <f t="shared" si="114"/>
        <v>1+0.184039160754303i</v>
      </c>
      <c r="BA146" s="32">
        <f t="shared" si="141"/>
        <v>1.0167941840368424</v>
      </c>
      <c r="BB146" s="32">
        <f t="shared" si="142"/>
        <v>0.18200256404022508</v>
      </c>
      <c r="BC146" s="60" t="str">
        <f t="shared" si="143"/>
        <v>-0.654243055281838+3.75909654879932i</v>
      </c>
      <c r="BD146" s="51">
        <f t="shared" si="144"/>
        <v>11.631267982291575</v>
      </c>
      <c r="BE146" s="63">
        <f t="shared" si="145"/>
        <v>99.873013652987368</v>
      </c>
      <c r="BF146" s="60" t="str">
        <f t="shared" si="146"/>
        <v>29.2248255038428+68.9044425094293i</v>
      </c>
      <c r="BG146" s="66">
        <f t="shared" si="147"/>
        <v>37.483363305622255</v>
      </c>
      <c r="BH146" s="63">
        <f t="shared" si="148"/>
        <v>67.016471509782249</v>
      </c>
      <c r="BI146" s="60" t="e">
        <f t="shared" si="152"/>
        <v>#NUM!</v>
      </c>
      <c r="BJ146" s="66" t="e">
        <f t="shared" si="149"/>
        <v>#NUM!</v>
      </c>
      <c r="BK146" s="63" t="e">
        <f t="shared" si="153"/>
        <v>#NUM!</v>
      </c>
      <c r="BL146" s="51">
        <f t="shared" si="150"/>
        <v>37.483363305622255</v>
      </c>
      <c r="BM146" s="63">
        <f t="shared" si="151"/>
        <v>67.016471509782249</v>
      </c>
    </row>
    <row r="147" spans="14:65" x14ac:dyDescent="0.3">
      <c r="N147" s="11">
        <v>29</v>
      </c>
      <c r="O147" s="52">
        <f t="shared" si="154"/>
        <v>194.98445997580458</v>
      </c>
      <c r="P147" s="50" t="str">
        <f t="shared" ref="P147:P210" si="155">COMPLEX(Adc,0)</f>
        <v>23.3035714285714</v>
      </c>
      <c r="Q147" s="18" t="str">
        <f t="shared" ref="Q147:Q210" si="156">IMSUM(COMPLEX(1,0),IMDIV(COMPLEX(0,2*PI()*O147),COMPLEX(wp_lf,0)))</f>
        <v>1+0.656316157525885i</v>
      </c>
      <c r="R147" s="18">
        <f t="shared" si="116"/>
        <v>1.1961399995943378</v>
      </c>
      <c r="S147" s="18">
        <f t="shared" si="117"/>
        <v>0.58080259469441209</v>
      </c>
      <c r="T147" s="18" t="str">
        <f t="shared" ref="T147:T210" si="157">IMSUM(COMPLEX(1,0),IMDIV(COMPLEX(0,2*PI()*O147),COMPLEX(wz_esr,0)))</f>
        <v>1+0.00122512349404832i</v>
      </c>
      <c r="U147" s="18">
        <f t="shared" si="118"/>
        <v>1.0000007504635062</v>
      </c>
      <c r="V147" s="18">
        <f t="shared" si="119"/>
        <v>1.2251228811083269E-3</v>
      </c>
      <c r="W147" s="32" t="str">
        <f t="shared" ref="W147:W210" si="158">IMSUB(COMPLEX(1,0),IMDIV(COMPLEX(0,2*PI()*O147),COMPLEX(wz_rhp,0)))</f>
        <v>1-0.00299474631878478i</v>
      </c>
      <c r="X147" s="18">
        <f t="shared" si="120"/>
        <v>1.0000044842427027</v>
      </c>
      <c r="Y147" s="18">
        <f t="shared" si="121"/>
        <v>-2.9947373660333316E-3</v>
      </c>
      <c r="Z147" s="32" t="str">
        <f t="shared" ref="Z147:Z210" si="159">IMSUM(COMPLEX(1,0),IMDIV(COMPLEX(0,2*PI()*O147),COMPLEX(Q*(wsl/2),0)),IMDIV(IMPOWER(COMPLEX(0,2*PI()*O147),2),IMPOWER(COMPLEX(wsl/2,0),2)))</f>
        <v>0.999999847924241+0.00146981128389712i</v>
      </c>
      <c r="AA147" s="18">
        <f t="shared" si="122"/>
        <v>1.000000928096427</v>
      </c>
      <c r="AB147" s="18">
        <f t="shared" si="123"/>
        <v>1.4698104489874538E-3</v>
      </c>
      <c r="AC147" s="68" t="str">
        <f t="shared" si="124"/>
        <v>16.2530067198882-10.7426012820497i</v>
      </c>
      <c r="AD147" s="66">
        <f t="shared" si="125"/>
        <v>25.792846826480652</v>
      </c>
      <c r="AE147" s="63">
        <f t="shared" si="126"/>
        <v>-33.463142782999597</v>
      </c>
      <c r="AF147" s="51" t="e">
        <f t="shared" si="127"/>
        <v>#NUM!</v>
      </c>
      <c r="AG147" s="51" t="str">
        <f t="shared" ref="AG147:AG210" si="160">IMSUM(COMPLEX(1,0),IMDIV(COMPLEX(0,2*PI()*O147),COMPLEX(wp_lf_DCM,0)))</f>
        <v>1-0.918842620536242i</v>
      </c>
      <c r="AH147" s="51">
        <f t="shared" si="128"/>
        <v>1.3580396758982811</v>
      </c>
      <c r="AI147" s="51">
        <f t="shared" si="129"/>
        <v>-0.74312839239076289</v>
      </c>
      <c r="AJ147" s="51" t="str">
        <f t="shared" ref="AJ147:AJ210" si="161">IMSUM(COMPLEX(1,0),IMDIV(COMPLEX(0,2*PI()*O147),COMPLEX(wz1_dcm,0)))</f>
        <v>1+0.00122512349404832i</v>
      </c>
      <c r="AK147" s="51">
        <f t="shared" si="130"/>
        <v>1.0000007504635062</v>
      </c>
      <c r="AL147" s="51">
        <f t="shared" si="131"/>
        <v>1.2251228811083269E-3</v>
      </c>
      <c r="AM147" s="51" t="e">
        <f t="shared" ref="AM147:AM210" si="162">IMSUB(COMPLEX(1,0),IMDIV(COMPLEX(0,2*PI()*O147),COMPLEX(wz2_dcm,0)))</f>
        <v>#NUM!</v>
      </c>
      <c r="AN147" s="51" t="e">
        <f t="shared" si="132"/>
        <v>#NUM!</v>
      </c>
      <c r="AO147" s="51" t="e">
        <f t="shared" si="133"/>
        <v>#NUM!</v>
      </c>
      <c r="AP147" s="60" t="e">
        <f t="shared" si="134"/>
        <v>#NUM!</v>
      </c>
      <c r="AQ147" s="51" t="e">
        <f t="shared" si="135"/>
        <v>#NUM!</v>
      </c>
      <c r="AR147" s="63" t="e">
        <f t="shared" si="136"/>
        <v>#NUM!</v>
      </c>
      <c r="AS147" s="32" t="str">
        <f t="shared" ref="AS147:AS210" si="163">COMPLEX(Adc_ea,0)</f>
        <v>-0.000170731707317073</v>
      </c>
      <c r="AT147" s="32" t="str">
        <f t="shared" ref="AT147:AT210" si="164">COMPLEX(0,2*PI()*O147*wp0_ea)</f>
        <v>0.0000465546927738362i</v>
      </c>
      <c r="AU147" s="32">
        <f t="shared" si="137"/>
        <v>4.6554692773836197E-5</v>
      </c>
      <c r="AV147" s="32">
        <f t="shared" si="138"/>
        <v>1.5707963267948966</v>
      </c>
      <c r="AW147" s="32" t="str">
        <f t="shared" ref="AW147:AW210" si="165">IMSUM(COMPLEX(1,0),IMDIV(COMPLEX(0,2*PI()*O147),COMPLEX(wp1_ea,0)))</f>
        <v>1+0.00991189386868987i</v>
      </c>
      <c r="AX147" s="32">
        <f t="shared" si="139"/>
        <v>1.0000491216135656</v>
      </c>
      <c r="AY147" s="32">
        <f t="shared" si="140"/>
        <v>9.9115692877037292E-3</v>
      </c>
      <c r="AZ147" s="32" t="str">
        <f t="shared" ref="AZ147:AZ210" si="166">IMSUM(COMPLEX(1,0),IMDIV(COMPLEX(0,2*PI()*O147),COMPLEX(wz_ea,0)))</f>
        <v>1+0.188325983505108i</v>
      </c>
      <c r="BA147" s="32">
        <f t="shared" si="141"/>
        <v>1.0175788303925972</v>
      </c>
      <c r="BB147" s="32">
        <f t="shared" si="142"/>
        <v>0.186145761699233</v>
      </c>
      <c r="BC147" s="60" t="str">
        <f t="shared" si="143"/>
        <v>-0.65424016264573+3.67382089950758i</v>
      </c>
      <c r="BD147" s="51">
        <f t="shared" si="144"/>
        <v>11.437948979550544</v>
      </c>
      <c r="BE147" s="63">
        <f t="shared" si="145"/>
        <v>100.0974754310771</v>
      </c>
      <c r="BF147" s="60" t="str">
        <f t="shared" si="146"/>
        <v>28.8330233451693+66.7388769773688i</v>
      </c>
      <c r="BG147" s="66">
        <f t="shared" si="147"/>
        <v>37.230795806031189</v>
      </c>
      <c r="BH147" s="63">
        <f t="shared" si="148"/>
        <v>66.634332648077503</v>
      </c>
      <c r="BI147" s="60" t="e">
        <f t="shared" si="152"/>
        <v>#NUM!</v>
      </c>
      <c r="BJ147" s="66" t="e">
        <f t="shared" si="149"/>
        <v>#NUM!</v>
      </c>
      <c r="BK147" s="63" t="e">
        <f t="shared" si="153"/>
        <v>#NUM!</v>
      </c>
      <c r="BL147" s="51">
        <f t="shared" si="150"/>
        <v>37.230795806031189</v>
      </c>
      <c r="BM147" s="63">
        <f t="shared" si="151"/>
        <v>66.634332648077503</v>
      </c>
    </row>
    <row r="148" spans="14:65" x14ac:dyDescent="0.3">
      <c r="N148" s="11">
        <v>30</v>
      </c>
      <c r="O148" s="52">
        <f t="shared" si="154"/>
        <v>199.52623149688802</v>
      </c>
      <c r="P148" s="50" t="str">
        <f t="shared" si="155"/>
        <v>23.3035714285714</v>
      </c>
      <c r="Q148" s="18" t="str">
        <f t="shared" si="156"/>
        <v>1+0.67160372471687i</v>
      </c>
      <c r="R148" s="18">
        <f t="shared" ref="R148:R211" si="167">IMABS(Q148)</f>
        <v>1.2045960165356571</v>
      </c>
      <c r="S148" s="18">
        <f t="shared" ref="S148:S211" si="168">IMARGUMENT(Q148)</f>
        <v>0.59141278298485189</v>
      </c>
      <c r="T148" s="18" t="str">
        <f t="shared" si="157"/>
        <v>1+0.00125366028613816i</v>
      </c>
      <c r="U148" s="18">
        <f t="shared" ref="U148:U211" si="169">IMABS(T148)</f>
        <v>1.0000007858317477</v>
      </c>
      <c r="V148" s="18">
        <f t="shared" ref="V148:V211" si="170">IMARGUMENT(T148)</f>
        <v>1.2536596293611522E-3</v>
      </c>
      <c r="W148" s="32" t="str">
        <f t="shared" si="158"/>
        <v>1-0.00306450292167106i</v>
      </c>
      <c r="X148" s="18">
        <f t="shared" ref="X148:X211" si="171">IMABS(W148)</f>
        <v>1.0000046955780542</v>
      </c>
      <c r="Y148" s="18">
        <f t="shared" ref="Y148:Y211" si="172">IMARGUMENT(W148)</f>
        <v>-3.0644933286274804E-3</v>
      </c>
      <c r="Z148" s="32" t="str">
        <f t="shared" si="159"/>
        <v>0.999999840757132+0.0015040475867871i</v>
      </c>
      <c r="AA148" s="18">
        <f t="shared" ref="AA148:AA211" si="173">IMABS(Z148)</f>
        <v>1.0000009718362441</v>
      </c>
      <c r="AB148" s="18">
        <f t="shared" ref="AB148:AB211" si="174">IMARGUMENT(Z148)</f>
        <v>1.5040466921653201E-3</v>
      </c>
      <c r="AC148" s="68" t="str">
        <f t="shared" ref="AC148:AC211" si="175">(IMDIV(IMPRODUCT(P148,T148,W148),IMPRODUCT(Q148,Z148)))</f>
        <v>16.024012185547-10.8390350275848i</v>
      </c>
      <c r="AD148" s="66">
        <f t="shared" ref="AD148:AD211" si="176">20*LOG(IMABS(AC148))</f>
        <v>25.731660409453049</v>
      </c>
      <c r="AE148" s="63">
        <f t="shared" ref="AE148:AE211" si="177">(180/PI())*IMARGUMENT(AC148)</f>
        <v>-34.075385071138236</v>
      </c>
      <c r="AF148" s="51" t="e">
        <f t="shared" ref="AF148:AF211" si="178">COMPLEX($B$68,0)</f>
        <v>#NUM!</v>
      </c>
      <c r="AG148" s="51" t="str">
        <f t="shared" si="160"/>
        <v>1-0.940245214603622i</v>
      </c>
      <c r="AH148" s="51">
        <f t="shared" ref="AH148:AH211" si="179">IMABS(AG148)</f>
        <v>1.3726110387087127</v>
      </c>
      <c r="AI148" s="51">
        <f t="shared" ref="AI148:AI211" si="180">IMARGUMENT(AG148)</f>
        <v>-0.75461035191588233</v>
      </c>
      <c r="AJ148" s="51" t="str">
        <f t="shared" si="161"/>
        <v>1+0.00125366028613816i</v>
      </c>
      <c r="AK148" s="51">
        <f t="shared" ref="AK148:AK211" si="181">IMABS(AJ148)</f>
        <v>1.0000007858317477</v>
      </c>
      <c r="AL148" s="51">
        <f t="shared" ref="AL148:AL211" si="182">IMARGUMENT(AJ148)</f>
        <v>1.2536596293611522E-3</v>
      </c>
      <c r="AM148" s="51" t="e">
        <f t="shared" si="162"/>
        <v>#NUM!</v>
      </c>
      <c r="AN148" s="51" t="e">
        <f t="shared" ref="AN148:AN211" si="183">IMABS(AM148)</f>
        <v>#NUM!</v>
      </c>
      <c r="AO148" s="51" t="e">
        <f t="shared" ref="AO148:AO211" si="184">IMARGUMENT(AM148)</f>
        <v>#NUM!</v>
      </c>
      <c r="AP148" s="60" t="e">
        <f t="shared" ref="AP148:AP211" si="185">(IMDIV(IMPRODUCT(AF148,AJ148,AM148),IMPRODUCT(AG148)))</f>
        <v>#NUM!</v>
      </c>
      <c r="AQ148" s="51" t="e">
        <f t="shared" ref="AQ148:AQ211" si="186">20*LOG(IMABS(AP148))</f>
        <v>#NUM!</v>
      </c>
      <c r="AR148" s="63" t="e">
        <f t="shared" ref="AR148:AR211" si="187">(180/PI())*IMARGUMENT(AP148)</f>
        <v>#NUM!</v>
      </c>
      <c r="AS148" s="32" t="str">
        <f t="shared" si="163"/>
        <v>-0.000170731707317073</v>
      </c>
      <c r="AT148" s="32" t="str">
        <f t="shared" si="164"/>
        <v>0.0000476390908732501i</v>
      </c>
      <c r="AU148" s="32">
        <f t="shared" ref="AU148:AU211" si="188">IMABS(AT148)</f>
        <v>4.7639090873250103E-5</v>
      </c>
      <c r="AV148" s="32">
        <f t="shared" ref="AV148:AV211" si="189">IMARGUMENT(AT148)</f>
        <v>1.5707963267948966</v>
      </c>
      <c r="AW148" s="32" t="str">
        <f t="shared" si="165"/>
        <v>1+0.0101427715360609i</v>
      </c>
      <c r="AX148" s="32">
        <f t="shared" ref="AX148:AX211" si="190">IMABS(AW148)</f>
        <v>1.0000514365843554</v>
      </c>
      <c r="AY148" s="32">
        <f t="shared" ref="AY148:AY211" si="191">IMARGUMENT(AW148)</f>
        <v>1.0142423742234266E-2</v>
      </c>
      <c r="AZ148" s="32" t="str">
        <f t="shared" si="166"/>
        <v>1+0.192712659185158i</v>
      </c>
      <c r="BA148" s="32">
        <f t="shared" ref="BA148:BA211" si="192">IMABS(AZ148)</f>
        <v>1.0183998080372045</v>
      </c>
      <c r="BB148" s="32">
        <f t="shared" ref="BB148:BB211" si="193">IMARGUMENT(AZ148)</f>
        <v>0.19037878297915589</v>
      </c>
      <c r="BC148" s="60" t="str">
        <f t="shared" ref="BC148:BC211" si="194">IMPRODUCT(AS148,IMDIV(AZ148,IMPRODUCT(AT148,AW148)))</f>
        <v>-0.654237133711302+3.59049315598258i</v>
      </c>
      <c r="BD148" s="51">
        <f t="shared" ref="BD148:BD211" si="195">20*LOG(IMABS(BC148))</f>
        <v>11.244933781056094</v>
      </c>
      <c r="BE148" s="63">
        <f t="shared" ref="BE148:BE211" si="196">(180/PI())*IMARGUMENT(BC148)</f>
        <v>100.32678269907937</v>
      </c>
      <c r="BF148" s="60" t="str">
        <f t="shared" ref="BF148:BF211" si="197">IMPRODUCT(AC148,BC148)</f>
        <v>28.4339772811714+64.6254052922314i</v>
      </c>
      <c r="BG148" s="66">
        <f t="shared" ref="BG148:BG211" si="198">20*LOG(IMABS(BF148))</f>
        <v>36.97659419050914</v>
      </c>
      <c r="BH148" s="63">
        <f t="shared" ref="BH148:BH211" si="199">(180/PI())*IMARGUMENT(BF148)</f>
        <v>66.251397627941159</v>
      </c>
      <c r="BI148" s="60" t="e">
        <f t="shared" si="152"/>
        <v>#NUM!</v>
      </c>
      <c r="BJ148" s="66" t="e">
        <f t="shared" ref="BJ148:BJ211" si="200">20*LOG(IMABS(BI148))</f>
        <v>#NUM!</v>
      </c>
      <c r="BK148" s="63" t="e">
        <f t="shared" si="153"/>
        <v>#NUM!</v>
      </c>
      <c r="BL148" s="51">
        <f t="shared" ref="BL148:BL211" si="201">IF($B$31=0,BJ148,BG148)</f>
        <v>36.97659419050914</v>
      </c>
      <c r="BM148" s="63">
        <f t="shared" ref="BM148:BM211" si="202">IF($B$31=0,BK148,BH148)</f>
        <v>66.251397627941159</v>
      </c>
    </row>
    <row r="149" spans="14:65" x14ac:dyDescent="0.3">
      <c r="N149" s="11">
        <v>31</v>
      </c>
      <c r="O149" s="52">
        <f t="shared" si="154"/>
        <v>204.17379446695315</v>
      </c>
      <c r="P149" s="50" t="str">
        <f t="shared" si="155"/>
        <v>23.3035714285714</v>
      </c>
      <c r="Q149" s="18" t="str">
        <f t="shared" si="156"/>
        <v>1+0.687247385092424i</v>
      </c>
      <c r="R149" s="18">
        <f t="shared" si="167"/>
        <v>1.2133873941641122</v>
      </c>
      <c r="S149" s="18">
        <f t="shared" si="168"/>
        <v>0.60211578899126661</v>
      </c>
      <c r="T149" s="18" t="str">
        <f t="shared" si="157"/>
        <v>1+0.00128286178550586i</v>
      </c>
      <c r="U149" s="18">
        <f t="shared" si="169"/>
        <v>1.0000008228668418</v>
      </c>
      <c r="V149" s="18">
        <f t="shared" si="170"/>
        <v>1.2828610817566481E-3</v>
      </c>
      <c r="W149" s="32" t="str">
        <f t="shared" si="158"/>
        <v>1-0.00313588436456988i</v>
      </c>
      <c r="X149" s="18">
        <f t="shared" si="171"/>
        <v>1.0000049168732861</v>
      </c>
      <c r="Y149" s="18">
        <f t="shared" si="172"/>
        <v>-3.1358740854412186E-3</v>
      </c>
      <c r="Z149" s="32" t="str">
        <f t="shared" si="159"/>
        <v>0.999999833252247+0.00153908135561602i</v>
      </c>
      <c r="AA149" s="18">
        <f t="shared" si="173"/>
        <v>1.0000010176374527</v>
      </c>
      <c r="AB149" s="18">
        <f t="shared" si="174"/>
        <v>1.5390803970115642E-3</v>
      </c>
      <c r="AC149" s="68" t="str">
        <f t="shared" si="175"/>
        <v>15.7909938013494-10.9313673105237i</v>
      </c>
      <c r="AD149" s="66">
        <f t="shared" si="176"/>
        <v>25.668501133671839</v>
      </c>
      <c r="AE149" s="63">
        <f t="shared" si="177"/>
        <v>-34.693046122963274</v>
      </c>
      <c r="AF149" s="51" t="e">
        <f t="shared" si="178"/>
        <v>#NUM!</v>
      </c>
      <c r="AG149" s="51" t="str">
        <f t="shared" si="160"/>
        <v>1-0.962146339129397i</v>
      </c>
      <c r="AH149" s="51">
        <f t="shared" si="179"/>
        <v>1.3877051480412186</v>
      </c>
      <c r="AI149" s="51">
        <f t="shared" si="180"/>
        <v>-0.7661085900157123</v>
      </c>
      <c r="AJ149" s="51" t="str">
        <f t="shared" si="161"/>
        <v>1+0.00128286178550586i</v>
      </c>
      <c r="AK149" s="51">
        <f t="shared" si="181"/>
        <v>1.0000008228668418</v>
      </c>
      <c r="AL149" s="51">
        <f t="shared" si="182"/>
        <v>1.2828610817566481E-3</v>
      </c>
      <c r="AM149" s="51" t="e">
        <f t="shared" si="162"/>
        <v>#NUM!</v>
      </c>
      <c r="AN149" s="51" t="e">
        <f t="shared" si="183"/>
        <v>#NUM!</v>
      </c>
      <c r="AO149" s="51" t="e">
        <f t="shared" si="184"/>
        <v>#NUM!</v>
      </c>
      <c r="AP149" s="60" t="e">
        <f t="shared" si="185"/>
        <v>#NUM!</v>
      </c>
      <c r="AQ149" s="51" t="e">
        <f t="shared" si="186"/>
        <v>#NUM!</v>
      </c>
      <c r="AR149" s="63" t="e">
        <f t="shared" si="187"/>
        <v>#NUM!</v>
      </c>
      <c r="AS149" s="32" t="str">
        <f t="shared" si="163"/>
        <v>-0.000170731707317073</v>
      </c>
      <c r="AT149" s="32" t="str">
        <f t="shared" si="164"/>
        <v>0.0000487487478492229i</v>
      </c>
      <c r="AU149" s="32">
        <f t="shared" si="188"/>
        <v>4.8748747849222898E-5</v>
      </c>
      <c r="AV149" s="32">
        <f t="shared" si="189"/>
        <v>1.5707963267948966</v>
      </c>
      <c r="AW149" s="32" t="str">
        <f t="shared" si="165"/>
        <v>1+0.0103790270351558i</v>
      </c>
      <c r="AX149" s="32">
        <f t="shared" si="190"/>
        <v>1.0000538606506135</v>
      </c>
      <c r="AY149" s="32">
        <f t="shared" si="191"/>
        <v>1.0378654368440324E-2</v>
      </c>
      <c r="AZ149" s="32" t="str">
        <f t="shared" si="166"/>
        <v>1+0.197201513667961i</v>
      </c>
      <c r="BA149" s="32">
        <f t="shared" si="192"/>
        <v>1.0192587684160166</v>
      </c>
      <c r="BB149" s="32">
        <f t="shared" si="193"/>
        <v>0.19470326519562031</v>
      </c>
      <c r="BC149" s="60" t="str">
        <f t="shared" si="194"/>
        <v>-0.654233962057648+3.50906913655848i</v>
      </c>
      <c r="BD149" s="51">
        <f t="shared" si="195"/>
        <v>11.052235676560231</v>
      </c>
      <c r="BE149" s="63">
        <f t="shared" si="196"/>
        <v>100.5610222607888</v>
      </c>
      <c r="BF149" s="60" t="str">
        <f t="shared" si="197"/>
        <v>28.0279192102584+62.5633607301728i</v>
      </c>
      <c r="BG149" s="66">
        <f t="shared" si="198"/>
        <v>36.720736810232069</v>
      </c>
      <c r="BH149" s="63">
        <f t="shared" si="199"/>
        <v>65.867976137825551</v>
      </c>
      <c r="BI149" s="60" t="e">
        <f t="shared" si="152"/>
        <v>#NUM!</v>
      </c>
      <c r="BJ149" s="66" t="e">
        <f t="shared" si="200"/>
        <v>#NUM!</v>
      </c>
      <c r="BK149" s="63" t="e">
        <f t="shared" si="153"/>
        <v>#NUM!</v>
      </c>
      <c r="BL149" s="51">
        <f t="shared" si="201"/>
        <v>36.720736810232069</v>
      </c>
      <c r="BM149" s="63">
        <f t="shared" si="202"/>
        <v>65.867976137825551</v>
      </c>
    </row>
    <row r="150" spans="14:65" x14ac:dyDescent="0.3">
      <c r="N150" s="11">
        <v>32</v>
      </c>
      <c r="O150" s="52">
        <f t="shared" si="154"/>
        <v>208.92961308540396</v>
      </c>
      <c r="P150" s="50" t="str">
        <f t="shared" si="155"/>
        <v>23.3035714285714</v>
      </c>
      <c r="Q150" s="18" t="str">
        <f t="shared" si="156"/>
        <v>1+0.703255433128354i</v>
      </c>
      <c r="R150" s="18">
        <f t="shared" si="167"/>
        <v>1.2225253388885438</v>
      </c>
      <c r="S150" s="18">
        <f t="shared" si="168"/>
        <v>0.6129074789675738</v>
      </c>
      <c r="T150" s="18" t="str">
        <f t="shared" si="157"/>
        <v>1+0.00131274347517293i</v>
      </c>
      <c r="U150" s="18">
        <f t="shared" si="169"/>
        <v>1.0000008616473446</v>
      </c>
      <c r="V150" s="18">
        <f t="shared" si="170"/>
        <v>1.3127427210920986E-3</v>
      </c>
      <c r="W150" s="32" t="str">
        <f t="shared" si="158"/>
        <v>1-0.00320892849486716i</v>
      </c>
      <c r="X150" s="18">
        <f t="shared" si="171"/>
        <v>1.0000051485977886</v>
      </c>
      <c r="Y150" s="18">
        <f t="shared" si="172"/>
        <v>-3.2089174805854208E-3</v>
      </c>
      <c r="Z150" s="32" t="str">
        <f t="shared" si="159"/>
        <v>0.999999825393667+0.00157493116575184i</v>
      </c>
      <c r="AA150" s="18">
        <f t="shared" si="173"/>
        <v>1.0000010655972029</v>
      </c>
      <c r="AB150" s="18">
        <f t="shared" si="174"/>
        <v>1.5749301385887188E-3</v>
      </c>
      <c r="AC150" s="68" t="str">
        <f t="shared" si="175"/>
        <v>15.5540980384922-11.0193933314437i</v>
      </c>
      <c r="AD150" s="66">
        <f t="shared" si="176"/>
        <v>25.603335254501772</v>
      </c>
      <c r="AE150" s="63">
        <f t="shared" si="177"/>
        <v>-35.315891437752505</v>
      </c>
      <c r="AF150" s="51" t="e">
        <f t="shared" si="178"/>
        <v>#NUM!</v>
      </c>
      <c r="AG150" s="51" t="str">
        <f t="shared" si="160"/>
        <v>1-0.9845576063797i</v>
      </c>
      <c r="AH150" s="51">
        <f t="shared" si="179"/>
        <v>1.4033366240072709</v>
      </c>
      <c r="AI150" s="51">
        <f t="shared" si="180"/>
        <v>-0.77761704285357891</v>
      </c>
      <c r="AJ150" s="51" t="str">
        <f t="shared" si="161"/>
        <v>1+0.00131274347517293i</v>
      </c>
      <c r="AK150" s="51">
        <f t="shared" si="181"/>
        <v>1.0000008616473446</v>
      </c>
      <c r="AL150" s="51">
        <f t="shared" si="182"/>
        <v>1.3127427210920986E-3</v>
      </c>
      <c r="AM150" s="51" t="e">
        <f t="shared" si="162"/>
        <v>#NUM!</v>
      </c>
      <c r="AN150" s="51" t="e">
        <f t="shared" si="183"/>
        <v>#NUM!</v>
      </c>
      <c r="AO150" s="51" t="e">
        <f t="shared" si="184"/>
        <v>#NUM!</v>
      </c>
      <c r="AP150" s="60" t="e">
        <f t="shared" si="185"/>
        <v>#NUM!</v>
      </c>
      <c r="AQ150" s="51" t="e">
        <f t="shared" si="186"/>
        <v>#NUM!</v>
      </c>
      <c r="AR150" s="63" t="e">
        <f t="shared" si="187"/>
        <v>#NUM!</v>
      </c>
      <c r="AS150" s="32" t="str">
        <f t="shared" si="163"/>
        <v>-0.000170731707317073</v>
      </c>
      <c r="AT150" s="32" t="str">
        <f t="shared" si="164"/>
        <v>0.0000498842520565712i</v>
      </c>
      <c r="AU150" s="32">
        <f t="shared" si="188"/>
        <v>4.9884252056571198E-5</v>
      </c>
      <c r="AV150" s="32">
        <f t="shared" si="189"/>
        <v>1.5707963267948966</v>
      </c>
      <c r="AW150" s="32" t="str">
        <f t="shared" si="165"/>
        <v>1+0.0106207856317675i</v>
      </c>
      <c r="AX150" s="32">
        <f t="shared" si="190"/>
        <v>1.0000563989532971</v>
      </c>
      <c r="AY150" s="32">
        <f t="shared" si="191"/>
        <v>1.0620386313403717E-2</v>
      </c>
      <c r="AZ150" s="32" t="str">
        <f t="shared" si="166"/>
        <v>1+0.201794927003583i</v>
      </c>
      <c r="BA150" s="32">
        <f t="shared" si="192"/>
        <v>1.0201574351855607</v>
      </c>
      <c r="BB150" s="32">
        <f t="shared" si="193"/>
        <v>0.19912085395299359</v>
      </c>
      <c r="BC150" s="60" t="str">
        <f t="shared" si="194"/>
        <v>-0.654230640961531+3.42950566893533i</v>
      </c>
      <c r="BD150" s="51">
        <f t="shared" si="195"/>
        <v>10.859868488521611</v>
      </c>
      <c r="BE150" s="63">
        <f t="shared" si="196"/>
        <v>100.80028123199084</v>
      </c>
      <c r="BF150" s="60" t="str">
        <f t="shared" si="197"/>
        <v>27.6151043691131+60.5520921604225i</v>
      </c>
      <c r="BG150" s="66">
        <f t="shared" si="198"/>
        <v>36.463203743023385</v>
      </c>
      <c r="BH150" s="63">
        <f t="shared" si="199"/>
        <v>65.484389794238325</v>
      </c>
      <c r="BI150" s="60" t="e">
        <f t="shared" si="152"/>
        <v>#NUM!</v>
      </c>
      <c r="BJ150" s="66" t="e">
        <f t="shared" si="200"/>
        <v>#NUM!</v>
      </c>
      <c r="BK150" s="63" t="e">
        <f t="shared" si="153"/>
        <v>#NUM!</v>
      </c>
      <c r="BL150" s="51">
        <f t="shared" si="201"/>
        <v>36.463203743023385</v>
      </c>
      <c r="BM150" s="63">
        <f t="shared" si="202"/>
        <v>65.484389794238325</v>
      </c>
    </row>
    <row r="151" spans="14:65" x14ac:dyDescent="0.3">
      <c r="N151" s="11">
        <v>33</v>
      </c>
      <c r="O151" s="52">
        <f t="shared" si="154"/>
        <v>213.79620895022339</v>
      </c>
      <c r="P151" s="50" t="str">
        <f t="shared" si="155"/>
        <v>23.3035714285714</v>
      </c>
      <c r="Q151" s="18" t="str">
        <f t="shared" si="156"/>
        <v>1+0.719636356503609i</v>
      </c>
      <c r="R151" s="18">
        <f t="shared" si="167"/>
        <v>1.2320213007906111</v>
      </c>
      <c r="S151" s="18">
        <f t="shared" si="168"/>
        <v>0.62378352043945462</v>
      </c>
      <c r="T151" s="18" t="str">
        <f t="shared" si="157"/>
        <v>1+0.00134332119880674i</v>
      </c>
      <c r="U151" s="18">
        <f t="shared" si="169"/>
        <v>1.0000009022555145</v>
      </c>
      <c r="V151" s="18">
        <f t="shared" si="170"/>
        <v>1.3433203907946107E-3</v>
      </c>
      <c r="W151" s="32" t="str">
        <f t="shared" si="158"/>
        <v>1-0.00328367404152759i</v>
      </c>
      <c r="X151" s="18">
        <f t="shared" si="171"/>
        <v>1.0000053912430726</v>
      </c>
      <c r="Y151" s="18">
        <f t="shared" si="172"/>
        <v>-3.2836622395155095E-3</v>
      </c>
      <c r="Z151" s="32" t="str">
        <f t="shared" si="159"/>
        <v>0.999999817164724+0.00161161602523842i</v>
      </c>
      <c r="AA151" s="18">
        <f t="shared" si="173"/>
        <v>1.0000011158172246</v>
      </c>
      <c r="AB151" s="18">
        <f t="shared" si="174"/>
        <v>1.6116149246133723E-3</v>
      </c>
      <c r="AC151" s="68" t="str">
        <f t="shared" si="175"/>
        <v>15.31348463443-11.1029138205965i</v>
      </c>
      <c r="AD151" s="66">
        <f t="shared" si="176"/>
        <v>25.536130335155075</v>
      </c>
      <c r="AE151" s="63">
        <f t="shared" si="177"/>
        <v>-35.943675183118224</v>
      </c>
      <c r="AF151" s="51" t="e">
        <f t="shared" si="178"/>
        <v>#NUM!</v>
      </c>
      <c r="AG151" s="51" t="str">
        <f t="shared" si="160"/>
        <v>1-1.00749089910506i</v>
      </c>
      <c r="AH151" s="51">
        <f t="shared" si="179"/>
        <v>1.4195203104498091</v>
      </c>
      <c r="AI151" s="51">
        <f t="shared" si="180"/>
        <v>-0.78912961958546568</v>
      </c>
      <c r="AJ151" s="51" t="str">
        <f t="shared" si="161"/>
        <v>1+0.00134332119880674i</v>
      </c>
      <c r="AK151" s="51">
        <f t="shared" si="181"/>
        <v>1.0000009022555145</v>
      </c>
      <c r="AL151" s="51">
        <f t="shared" si="182"/>
        <v>1.3433203907946107E-3</v>
      </c>
      <c r="AM151" s="51" t="e">
        <f t="shared" si="162"/>
        <v>#NUM!</v>
      </c>
      <c r="AN151" s="51" t="e">
        <f t="shared" si="183"/>
        <v>#NUM!</v>
      </c>
      <c r="AO151" s="51" t="e">
        <f t="shared" si="184"/>
        <v>#NUM!</v>
      </c>
      <c r="AP151" s="60" t="e">
        <f t="shared" si="185"/>
        <v>#NUM!</v>
      </c>
      <c r="AQ151" s="51" t="e">
        <f t="shared" si="186"/>
        <v>#NUM!</v>
      </c>
      <c r="AR151" s="63" t="e">
        <f t="shared" si="187"/>
        <v>#NUM!</v>
      </c>
      <c r="AS151" s="32" t="str">
        <f t="shared" si="163"/>
        <v>-0.000170731707317073</v>
      </c>
      <c r="AT151" s="32" t="str">
        <f t="shared" si="164"/>
        <v>0.0000510462055546561i</v>
      </c>
      <c r="AU151" s="32">
        <f t="shared" si="188"/>
        <v>5.10462055546561E-5</v>
      </c>
      <c r="AV151" s="32">
        <f t="shared" si="189"/>
        <v>1.5707963267948966</v>
      </c>
      <c r="AW151" s="32" t="str">
        <f t="shared" si="165"/>
        <v>1+0.0108681755095038i</v>
      </c>
      <c r="AX151" s="32">
        <f t="shared" si="190"/>
        <v>1.0000590568755954</v>
      </c>
      <c r="AY151" s="32">
        <f t="shared" si="191"/>
        <v>1.0867747633532734E-2</v>
      </c>
      <c r="AZ151" s="32" t="str">
        <f t="shared" si="166"/>
        <v>1+0.206495334680572i</v>
      </c>
      <c r="BA151" s="32">
        <f t="shared" si="192"/>
        <v>1.0210976071095463</v>
      </c>
      <c r="BB151" s="32">
        <f t="shared" si="193"/>
        <v>0.20363320150928294</v>
      </c>
      <c r="BC151" s="60" t="str">
        <f t="shared" si="194"/>
        <v>-0.654227163383108+3.35176056728752i</v>
      </c>
      <c r="BD151" s="51">
        <f t="shared" si="195"/>
        <v>10.667846588960856</v>
      </c>
      <c r="BE151" s="63">
        <f t="shared" si="196"/>
        <v>101.04464694300424</v>
      </c>
      <c r="BF151" s="60" t="str">
        <f t="shared" si="197"/>
        <v>27.195811111973+58.5909617595818i</v>
      </c>
      <c r="BG151" s="66">
        <f t="shared" si="198"/>
        <v>36.203976924115935</v>
      </c>
      <c r="BH151" s="63">
        <f t="shared" si="199"/>
        <v>65.10097175988605</v>
      </c>
      <c r="BI151" s="60" t="e">
        <f t="shared" si="152"/>
        <v>#NUM!</v>
      </c>
      <c r="BJ151" s="66" t="e">
        <f t="shared" si="200"/>
        <v>#NUM!</v>
      </c>
      <c r="BK151" s="63" t="e">
        <f t="shared" si="153"/>
        <v>#NUM!</v>
      </c>
      <c r="BL151" s="51">
        <f t="shared" si="201"/>
        <v>36.203976924115935</v>
      </c>
      <c r="BM151" s="63">
        <f t="shared" si="202"/>
        <v>65.10097175988605</v>
      </c>
    </row>
    <row r="152" spans="14:65" x14ac:dyDescent="0.3">
      <c r="N152" s="11">
        <v>34</v>
      </c>
      <c r="O152" s="52">
        <f t="shared" si="154"/>
        <v>218.77616239495524</v>
      </c>
      <c r="P152" s="50" t="str">
        <f t="shared" si="155"/>
        <v>23.3035714285714</v>
      </c>
      <c r="Q152" s="18" t="str">
        <f t="shared" si="156"/>
        <v>1+0.736398840600599i</v>
      </c>
      <c r="R152" s="18">
        <f t="shared" si="167"/>
        <v>1.2418869724890049</v>
      </c>
      <c r="S152" s="18">
        <f t="shared" si="168"/>
        <v>0.63473938813818742</v>
      </c>
      <c r="T152" s="18" t="str">
        <f t="shared" si="157"/>
        <v>1+0.00137461116912112i</v>
      </c>
      <c r="U152" s="18">
        <f t="shared" si="169"/>
        <v>1.0000009447774869</v>
      </c>
      <c r="V152" s="18">
        <f t="shared" si="170"/>
        <v>1.3746103033205688E-3</v>
      </c>
      <c r="W152" s="32" t="str">
        <f t="shared" si="158"/>
        <v>1-0.00336016063562941i</v>
      </c>
      <c r="X152" s="18">
        <f t="shared" si="171"/>
        <v>1.0000056453238138</v>
      </c>
      <c r="Y152" s="18">
        <f t="shared" si="172"/>
        <v>-3.3601479895494805E-3</v>
      </c>
      <c r="Z152" s="32" t="str">
        <f t="shared" si="159"/>
        <v>0.999999808547963+0.00164915538487384i</v>
      </c>
      <c r="AA152" s="18">
        <f t="shared" si="173"/>
        <v>1.0000011684040404</v>
      </c>
      <c r="AB152" s="18">
        <f t="shared" si="174"/>
        <v>1.6491542055329272E-3</v>
      </c>
      <c r="AC152" s="68" t="str">
        <f t="shared" si="175"/>
        <v>15.0693263789078-11.1817360489062i</v>
      </c>
      <c r="AD152" s="66">
        <f t="shared" si="176"/>
        <v>25.466855359146081</v>
      </c>
      <c r="AE152" s="63">
        <f t="shared" si="177"/>
        <v>-36.576140536262862</v>
      </c>
      <c r="AF152" s="51" t="e">
        <f t="shared" si="178"/>
        <v>#NUM!</v>
      </c>
      <c r="AG152" s="51" t="str">
        <f t="shared" si="160"/>
        <v>1-1.03095837684084i</v>
      </c>
      <c r="AH152" s="51">
        <f t="shared" si="179"/>
        <v>1.4362712747870086</v>
      </c>
      <c r="AI152" s="51">
        <f t="shared" si="180"/>
        <v>-0.80064021844766475</v>
      </c>
      <c r="AJ152" s="51" t="str">
        <f t="shared" si="161"/>
        <v>1+0.00137461116912112i</v>
      </c>
      <c r="AK152" s="51">
        <f t="shared" si="181"/>
        <v>1.0000009447774869</v>
      </c>
      <c r="AL152" s="51">
        <f t="shared" si="182"/>
        <v>1.3746103033205688E-3</v>
      </c>
      <c r="AM152" s="51" t="e">
        <f t="shared" si="162"/>
        <v>#NUM!</v>
      </c>
      <c r="AN152" s="51" t="e">
        <f t="shared" si="183"/>
        <v>#NUM!</v>
      </c>
      <c r="AO152" s="51" t="e">
        <f t="shared" si="184"/>
        <v>#NUM!</v>
      </c>
      <c r="AP152" s="60" t="e">
        <f t="shared" si="185"/>
        <v>#NUM!</v>
      </c>
      <c r="AQ152" s="51" t="e">
        <f t="shared" si="186"/>
        <v>#NUM!</v>
      </c>
      <c r="AR152" s="63" t="e">
        <f t="shared" si="187"/>
        <v>#NUM!</v>
      </c>
      <c r="AS152" s="32" t="str">
        <f t="shared" si="163"/>
        <v>-0.000170731707317073</v>
      </c>
      <c r="AT152" s="32" t="str">
        <f t="shared" si="164"/>
        <v>0.0000522352244266025i</v>
      </c>
      <c r="AU152" s="32">
        <f t="shared" si="188"/>
        <v>5.2235224426602503E-5</v>
      </c>
      <c r="AV152" s="32">
        <f t="shared" si="189"/>
        <v>1.5707963267948966</v>
      </c>
      <c r="AW152" s="32" t="str">
        <f t="shared" si="165"/>
        <v>1+0.0111213278377525i</v>
      </c>
      <c r="AX152" s="32">
        <f t="shared" si="190"/>
        <v>1.0000618400543413</v>
      </c>
      <c r="AY152" s="32">
        <f t="shared" si="191"/>
        <v>1.1120869361920421E-2</v>
      </c>
      <c r="AZ152" s="32" t="str">
        <f t="shared" si="166"/>
        <v>1+0.211305228917299i</v>
      </c>
      <c r="BA152" s="32">
        <f t="shared" si="192"/>
        <v>1.0220811610472977</v>
      </c>
      <c r="BB152" s="32">
        <f t="shared" si="193"/>
        <v>0.20824196500612285</v>
      </c>
      <c r="BC152" s="60" t="str">
        <f t="shared" si="194"/>
        <v>-0.654223521951091+3.27579260989535i</v>
      </c>
      <c r="BD152" s="51">
        <f t="shared" si="195"/>
        <v>10.476184916422309</v>
      </c>
      <c r="BE152" s="63">
        <f t="shared" si="196"/>
        <v>101.29420683340742</v>
      </c>
      <c r="BF152" s="60" t="str">
        <f t="shared" si="197"/>
        <v>26.7703405377678+56.6793427275701i</v>
      </c>
      <c r="BG152" s="66">
        <f t="shared" si="198"/>
        <v>35.943040275568386</v>
      </c>
      <c r="BH152" s="63">
        <f t="shared" si="199"/>
        <v>64.71806629714456</v>
      </c>
      <c r="BI152" s="60" t="e">
        <f t="shared" si="152"/>
        <v>#NUM!</v>
      </c>
      <c r="BJ152" s="66" t="e">
        <f t="shared" si="200"/>
        <v>#NUM!</v>
      </c>
      <c r="BK152" s="63" t="e">
        <f t="shared" si="153"/>
        <v>#NUM!</v>
      </c>
      <c r="BL152" s="51">
        <f t="shared" si="201"/>
        <v>35.943040275568386</v>
      </c>
      <c r="BM152" s="63">
        <f t="shared" si="202"/>
        <v>64.71806629714456</v>
      </c>
    </row>
    <row r="153" spans="14:65" x14ac:dyDescent="0.3">
      <c r="N153" s="11">
        <v>35</v>
      </c>
      <c r="O153" s="52">
        <f t="shared" si="154"/>
        <v>223.87211385683412</v>
      </c>
      <c r="P153" s="50" t="str">
        <f t="shared" si="155"/>
        <v>23.3035714285714</v>
      </c>
      <c r="Q153" s="18" t="str">
        <f t="shared" si="156"/>
        <v>1+0.753551773110267i</v>
      </c>
      <c r="R153" s="18">
        <f t="shared" si="167"/>
        <v>1.2521342878292356</v>
      </c>
      <c r="S153" s="18">
        <f t="shared" si="168"/>
        <v>0.64577037092794931</v>
      </c>
      <c r="T153" s="18" t="str">
        <f t="shared" si="157"/>
        <v>1+0.0014066299764725i</v>
      </c>
      <c r="U153" s="18">
        <f t="shared" si="169"/>
        <v>1.000000989303456</v>
      </c>
      <c r="V153" s="18">
        <f t="shared" si="170"/>
        <v>1.4066290487505446E-3</v>
      </c>
      <c r="W153" s="32" t="str">
        <f t="shared" si="158"/>
        <v>1-0.00343842883137722i</v>
      </c>
      <c r="X153" s="18">
        <f t="shared" si="171"/>
        <v>1.0000059113789421</v>
      </c>
      <c r="Y153" s="18">
        <f t="shared" si="172"/>
        <v>-3.4384152808627664E-3</v>
      </c>
      <c r="Z153" s="32" t="str">
        <f t="shared" si="159"/>
        <v>0.999999799525107+0.00168756914852347i</v>
      </c>
      <c r="AA153" s="18">
        <f t="shared" si="173"/>
        <v>1.0000012234691942</v>
      </c>
      <c r="AB153" s="18">
        <f t="shared" si="174"/>
        <v>1.6875678848369965E-3</v>
      </c>
      <c r="AC153" s="68" t="str">
        <f t="shared" si="175"/>
        <v>14.8218088105256-11.2556748364364i</v>
      </c>
      <c r="AD153" s="66">
        <f t="shared" si="176"/>
        <v>25.395480840538376</v>
      </c>
      <c r="AE153" s="63">
        <f t="shared" si="177"/>
        <v>-37.213020082184983</v>
      </c>
      <c r="AF153" s="51" t="e">
        <f t="shared" si="178"/>
        <v>#NUM!</v>
      </c>
      <c r="AG153" s="51" t="str">
        <f t="shared" si="160"/>
        <v>1-1.05497248235438i</v>
      </c>
      <c r="AH153" s="51">
        <f t="shared" si="179"/>
        <v>1.4536048082353619</v>
      </c>
      <c r="AI153" s="51">
        <f t="shared" si="180"/>
        <v>-0.81214274291486666</v>
      </c>
      <c r="AJ153" s="51" t="str">
        <f t="shared" si="161"/>
        <v>1+0.0014066299764725i</v>
      </c>
      <c r="AK153" s="51">
        <f t="shared" si="181"/>
        <v>1.000000989303456</v>
      </c>
      <c r="AL153" s="51">
        <f t="shared" si="182"/>
        <v>1.4066290487505446E-3</v>
      </c>
      <c r="AM153" s="51" t="e">
        <f t="shared" si="162"/>
        <v>#NUM!</v>
      </c>
      <c r="AN153" s="51" t="e">
        <f t="shared" si="183"/>
        <v>#NUM!</v>
      </c>
      <c r="AO153" s="51" t="e">
        <f t="shared" si="184"/>
        <v>#NUM!</v>
      </c>
      <c r="AP153" s="60" t="e">
        <f t="shared" si="185"/>
        <v>#NUM!</v>
      </c>
      <c r="AQ153" s="51" t="e">
        <f t="shared" si="186"/>
        <v>#NUM!</v>
      </c>
      <c r="AR153" s="63" t="e">
        <f t="shared" si="187"/>
        <v>#NUM!</v>
      </c>
      <c r="AS153" s="32" t="str">
        <f t="shared" si="163"/>
        <v>-0.000170731707317073</v>
      </c>
      <c r="AT153" s="32" t="str">
        <f t="shared" si="164"/>
        <v>0.0000534519391059548i</v>
      </c>
      <c r="AU153" s="32">
        <f t="shared" si="188"/>
        <v>5.3451939105954798E-5</v>
      </c>
      <c r="AV153" s="32">
        <f t="shared" si="189"/>
        <v>1.5707963267948966</v>
      </c>
      <c r="AW153" s="32" t="str">
        <f t="shared" si="165"/>
        <v>1+0.0113803768412291i</v>
      </c>
      <c r="AX153" s="32">
        <f t="shared" si="190"/>
        <v>1.0000647543919585</v>
      </c>
      <c r="AY153" s="32">
        <f t="shared" si="191"/>
        <v>1.1379885577242024E-2</v>
      </c>
      <c r="AZ153" s="32" t="str">
        <f t="shared" si="166"/>
        <v>1+0.216227159983353i</v>
      </c>
      <c r="BA153" s="32">
        <f t="shared" si="192"/>
        <v>1.0231100550353645</v>
      </c>
      <c r="BB153" s="32">
        <f t="shared" si="193"/>
        <v>0.21294880455730528</v>
      </c>
      <c r="BC153" s="60" t="str">
        <f t="shared" si="194"/>
        <v>-0.654219708947117+3.20156151728747i</v>
      </c>
      <c r="BD153" s="51">
        <f t="shared" si="195"/>
        <v>10.284898992994126</v>
      </c>
      <c r="BE153" s="63">
        <f t="shared" si="196"/>
        <v>101.54904833857208</v>
      </c>
      <c r="BF153" s="60" t="str">
        <f t="shared" si="197"/>
        <v>26.3390159613438+54.8166170198679i</v>
      </c>
      <c r="BG153" s="66">
        <f t="shared" si="198"/>
        <v>35.680379833532491</v>
      </c>
      <c r="BH153" s="63">
        <f t="shared" si="199"/>
        <v>64.336028256387124</v>
      </c>
      <c r="BI153" s="60" t="e">
        <f t="shared" si="152"/>
        <v>#NUM!</v>
      </c>
      <c r="BJ153" s="66" t="e">
        <f t="shared" si="200"/>
        <v>#NUM!</v>
      </c>
      <c r="BK153" s="63" t="e">
        <f t="shared" si="153"/>
        <v>#NUM!</v>
      </c>
      <c r="BL153" s="51">
        <f t="shared" si="201"/>
        <v>35.680379833532491</v>
      </c>
      <c r="BM153" s="63">
        <f t="shared" si="202"/>
        <v>64.336028256387124</v>
      </c>
    </row>
    <row r="154" spans="14:65" x14ac:dyDescent="0.3">
      <c r="N154" s="11">
        <v>36</v>
      </c>
      <c r="O154" s="52">
        <f t="shared" si="154"/>
        <v>229.08676527677744</v>
      </c>
      <c r="P154" s="50" t="str">
        <f t="shared" si="155"/>
        <v>23.3035714285714</v>
      </c>
      <c r="Q154" s="18" t="str">
        <f t="shared" si="156"/>
        <v>1+0.771104248744472i</v>
      </c>
      <c r="R154" s="18">
        <f t="shared" si="167"/>
        <v>1.2627754204258874</v>
      </c>
      <c r="S154" s="18">
        <f t="shared" si="168"/>
        <v>0.65687157971979404</v>
      </c>
      <c r="T154" s="18" t="str">
        <f t="shared" si="157"/>
        <v>1+0.00143939459765635i</v>
      </c>
      <c r="U154" s="18">
        <f t="shared" si="169"/>
        <v>1.0000010359278673</v>
      </c>
      <c r="V154" s="18">
        <f t="shared" si="170"/>
        <v>1.4393936035844205E-3</v>
      </c>
      <c r="W154" s="32" t="str">
        <f t="shared" si="158"/>
        <v>1-0.00351852012760441i</v>
      </c>
      <c r="X154" s="18">
        <f t="shared" si="171"/>
        <v>1.0000061899727863</v>
      </c>
      <c r="Y154" s="18">
        <f t="shared" si="172"/>
        <v>-3.5185056079714313E-3</v>
      </c>
      <c r="Z154" s="32" t="str">
        <f t="shared" si="159"/>
        <v>0.999999790077016+0.00172687768367326i</v>
      </c>
      <c r="AA154" s="18">
        <f t="shared" si="173"/>
        <v>1.0000012811294847</v>
      </c>
      <c r="AB154" s="18">
        <f t="shared" si="174"/>
        <v>1.7268763296089014E-3</v>
      </c>
      <c r="AC154" s="68" t="str">
        <f t="shared" si="175"/>
        <v>14.5711298226119-11.3245535493519i</v>
      </c>
      <c r="AD154" s="66">
        <f t="shared" si="176"/>
        <v>25.321978931213525</v>
      </c>
      <c r="AE154" s="63">
        <f t="shared" si="177"/>
        <v>-37.854036268449335</v>
      </c>
      <c r="AF154" s="51" t="e">
        <f t="shared" si="178"/>
        <v>#NUM!</v>
      </c>
      <c r="AG154" s="51" t="str">
        <f t="shared" si="160"/>
        <v>1-1.07954594824227i</v>
      </c>
      <c r="AH154" s="51">
        <f t="shared" si="179"/>
        <v>1.471536426449003</v>
      </c>
      <c r="AI154" s="51">
        <f t="shared" si="180"/>
        <v>-0.82363111782441478</v>
      </c>
      <c r="AJ154" s="51" t="str">
        <f t="shared" si="161"/>
        <v>1+0.00143939459765635i</v>
      </c>
      <c r="AK154" s="51">
        <f t="shared" si="181"/>
        <v>1.0000010359278673</v>
      </c>
      <c r="AL154" s="51">
        <f t="shared" si="182"/>
        <v>1.4393936035844205E-3</v>
      </c>
      <c r="AM154" s="51" t="e">
        <f t="shared" si="162"/>
        <v>#NUM!</v>
      </c>
      <c r="AN154" s="51" t="e">
        <f t="shared" si="183"/>
        <v>#NUM!</v>
      </c>
      <c r="AO154" s="51" t="e">
        <f t="shared" si="184"/>
        <v>#NUM!</v>
      </c>
      <c r="AP154" s="60" t="e">
        <f t="shared" si="185"/>
        <v>#NUM!</v>
      </c>
      <c r="AQ154" s="51" t="e">
        <f t="shared" si="186"/>
        <v>#NUM!</v>
      </c>
      <c r="AR154" s="63" t="e">
        <f t="shared" si="187"/>
        <v>#NUM!</v>
      </c>
      <c r="AS154" s="32" t="str">
        <f t="shared" si="163"/>
        <v>-0.000170731707317073</v>
      </c>
      <c r="AT154" s="32" t="str">
        <f t="shared" si="164"/>
        <v>0.0000546969947109412i</v>
      </c>
      <c r="AU154" s="32">
        <f t="shared" si="188"/>
        <v>5.4696994710941199E-5</v>
      </c>
      <c r="AV154" s="32">
        <f t="shared" si="189"/>
        <v>1.5707963267948966</v>
      </c>
      <c r="AW154" s="32" t="str">
        <f t="shared" si="165"/>
        <v>1+0.0116454598711439i</v>
      </c>
      <c r="AX154" s="32">
        <f t="shared" si="190"/>
        <v>1.0000678060689736</v>
      </c>
      <c r="AY154" s="32">
        <f t="shared" si="191"/>
        <v>1.1644933474225374E-2</v>
      </c>
      <c r="AZ154" s="32" t="str">
        <f t="shared" si="166"/>
        <v>1+0.221263737551734i</v>
      </c>
      <c r="BA154" s="32">
        <f t="shared" si="192"/>
        <v>1.0241863314628654</v>
      </c>
      <c r="BB154" s="32">
        <f t="shared" si="193"/>
        <v>0.21775538118935056</v>
      </c>
      <c r="BC154" s="60" t="str">
        <f t="shared" si="194"/>
        <v>-0.654215716289436+3.12902793088309i</v>
      </c>
      <c r="BD154" s="51">
        <f t="shared" si="195"/>
        <v>10.094004941335577</v>
      </c>
      <c r="BE154" s="63">
        <f t="shared" si="196"/>
        <v>101.80925876762846</v>
      </c>
      <c r="BF154" s="60" t="str">
        <f t="shared" si="197"/>
        <v>25.9021822266569+53.0021731114235i</v>
      </c>
      <c r="BG154" s="66">
        <f t="shared" si="198"/>
        <v>35.415983872549099</v>
      </c>
      <c r="BH154" s="63">
        <f t="shared" si="199"/>
        <v>63.955222499179143</v>
      </c>
      <c r="BI154" s="60" t="e">
        <f t="shared" si="152"/>
        <v>#NUM!</v>
      </c>
      <c r="BJ154" s="66" t="e">
        <f t="shared" si="200"/>
        <v>#NUM!</v>
      </c>
      <c r="BK154" s="63" t="e">
        <f t="shared" si="153"/>
        <v>#NUM!</v>
      </c>
      <c r="BL154" s="51">
        <f t="shared" si="201"/>
        <v>35.415983872549099</v>
      </c>
      <c r="BM154" s="63">
        <f t="shared" si="202"/>
        <v>63.955222499179143</v>
      </c>
    </row>
    <row r="155" spans="14:65" x14ac:dyDescent="0.3">
      <c r="N155" s="11">
        <v>37</v>
      </c>
      <c r="O155" s="52">
        <f t="shared" si="154"/>
        <v>234.42288153199232</v>
      </c>
      <c r="P155" s="50" t="str">
        <f t="shared" si="155"/>
        <v>23.3035714285714</v>
      </c>
      <c r="Q155" s="18" t="str">
        <f t="shared" si="156"/>
        <v>1+0.789065574058129i</v>
      </c>
      <c r="R155" s="18">
        <f t="shared" si="167"/>
        <v>1.2738227820869295</v>
      </c>
      <c r="S155" s="18">
        <f t="shared" si="168"/>
        <v>0.66803795635641883</v>
      </c>
      <c r="T155" s="18" t="str">
        <f t="shared" si="157"/>
        <v>1+0.00147292240490851i</v>
      </c>
      <c r="U155" s="18">
        <f t="shared" si="169"/>
        <v>1.000001084749617</v>
      </c>
      <c r="V155" s="18">
        <f t="shared" si="170"/>
        <v>1.472921339741309E-3</v>
      </c>
      <c r="W155" s="32" t="str">
        <f t="shared" si="158"/>
        <v>1-0.00360047698977636i</v>
      </c>
      <c r="X155" s="18">
        <f t="shared" si="171"/>
        <v>1.0000064816962708</v>
      </c>
      <c r="Y155" s="18">
        <f t="shared" si="172"/>
        <v>-3.6004614317147647E-3</v>
      </c>
      <c r="Z155" s="32" t="str">
        <f t="shared" si="159"/>
        <v>0.99999978018365+0.00176710183222886i</v>
      </c>
      <c r="AA155" s="18">
        <f t="shared" si="173"/>
        <v>1.0000013415072171</v>
      </c>
      <c r="AB155" s="18">
        <f t="shared" si="174"/>
        <v>1.7671003813228643E-3</v>
      </c>
      <c r="AC155" s="68" t="str">
        <f t="shared" si="175"/>
        <v>14.3174991781977-11.3882050761052i</v>
      </c>
      <c r="AD155" s="66">
        <f t="shared" si="176"/>
        <v>25.246323524386725</v>
      </c>
      <c r="AE155" s="63">
        <f t="shared" si="177"/>
        <v>-38.498901915608108</v>
      </c>
      <c r="AF155" s="51" t="e">
        <f t="shared" si="178"/>
        <v>#NUM!</v>
      </c>
      <c r="AG155" s="51" t="str">
        <f t="shared" si="160"/>
        <v>1-1.10469180368139i</v>
      </c>
      <c r="AH155" s="51">
        <f t="shared" si="179"/>
        <v>1.4900818706100825</v>
      </c>
      <c r="AI155" s="51">
        <f t="shared" si="180"/>
        <v>-0.83509930536291699</v>
      </c>
      <c r="AJ155" s="51" t="str">
        <f t="shared" si="161"/>
        <v>1+0.00147292240490851i</v>
      </c>
      <c r="AK155" s="51">
        <f t="shared" si="181"/>
        <v>1.000001084749617</v>
      </c>
      <c r="AL155" s="51">
        <f t="shared" si="182"/>
        <v>1.472921339741309E-3</v>
      </c>
      <c r="AM155" s="51" t="e">
        <f t="shared" si="162"/>
        <v>#NUM!</v>
      </c>
      <c r="AN155" s="51" t="e">
        <f t="shared" si="183"/>
        <v>#NUM!</v>
      </c>
      <c r="AO155" s="51" t="e">
        <f t="shared" si="184"/>
        <v>#NUM!</v>
      </c>
      <c r="AP155" s="60" t="e">
        <f t="shared" si="185"/>
        <v>#NUM!</v>
      </c>
      <c r="AQ155" s="51" t="e">
        <f t="shared" si="186"/>
        <v>#NUM!</v>
      </c>
      <c r="AR155" s="63" t="e">
        <f t="shared" si="187"/>
        <v>#NUM!</v>
      </c>
      <c r="AS155" s="32" t="str">
        <f t="shared" si="163"/>
        <v>-0.000170731707317073</v>
      </c>
      <c r="AT155" s="32" t="str">
        <f t="shared" si="164"/>
        <v>0.0000559710513865236i</v>
      </c>
      <c r="AU155" s="32">
        <f t="shared" si="188"/>
        <v>5.59710513865236E-5</v>
      </c>
      <c r="AV155" s="32">
        <f t="shared" si="189"/>
        <v>1.5707963267948966</v>
      </c>
      <c r="AW155" s="32" t="str">
        <f t="shared" si="165"/>
        <v>1+0.0119167174780282i</v>
      </c>
      <c r="AX155" s="32">
        <f t="shared" si="190"/>
        <v>1.000071001557115</v>
      </c>
      <c r="AY155" s="32">
        <f t="shared" si="191"/>
        <v>1.1916153435730555E-2</v>
      </c>
      <c r="AZ155" s="32" t="str">
        <f t="shared" si="166"/>
        <v>1+0.226417632082536i</v>
      </c>
      <c r="BA155" s="32">
        <f t="shared" si="192"/>
        <v>1.0253121203408564</v>
      </c>
      <c r="BB155" s="32">
        <f t="shared" si="193"/>
        <v>0.22266335462754255</v>
      </c>
      <c r="BC155" s="60" t="str">
        <f t="shared" si="194"/>
        <v>-0.654211535515827+3.05815339212207i</v>
      </c>
      <c r="BD155" s="51">
        <f t="shared" si="195"/>
        <v>9.903519501651914</v>
      </c>
      <c r="BE155" s="63">
        <f t="shared" si="196"/>
        <v>102.07492517248527</v>
      </c>
      <c r="BF155" s="60" t="str">
        <f t="shared" si="197"/>
        <v>25.4602048615576+51.2354038081182i</v>
      </c>
      <c r="BG155" s="66">
        <f t="shared" si="198"/>
        <v>35.149843026038646</v>
      </c>
      <c r="BH155" s="63">
        <f t="shared" si="199"/>
        <v>63.576023256877171</v>
      </c>
      <c r="BI155" s="60" t="e">
        <f t="shared" si="152"/>
        <v>#NUM!</v>
      </c>
      <c r="BJ155" s="66" t="e">
        <f t="shared" si="200"/>
        <v>#NUM!</v>
      </c>
      <c r="BK155" s="63" t="e">
        <f t="shared" si="153"/>
        <v>#NUM!</v>
      </c>
      <c r="BL155" s="51">
        <f t="shared" si="201"/>
        <v>35.149843026038646</v>
      </c>
      <c r="BM155" s="63">
        <f t="shared" si="202"/>
        <v>63.576023256877171</v>
      </c>
    </row>
    <row r="156" spans="14:65" x14ac:dyDescent="0.3">
      <c r="N156" s="11">
        <v>38</v>
      </c>
      <c r="O156" s="52">
        <f t="shared" si="154"/>
        <v>239.88329190194912</v>
      </c>
      <c r="P156" s="50" t="str">
        <f t="shared" si="155"/>
        <v>23.3035714285714</v>
      </c>
      <c r="Q156" s="18" t="str">
        <f t="shared" si="156"/>
        <v>1+0.807445272383677i</v>
      </c>
      <c r="R156" s="18">
        <f t="shared" si="167"/>
        <v>1.2852890211523438</v>
      </c>
      <c r="S156" s="18">
        <f t="shared" si="168"/>
        <v>0.67926428344267054</v>
      </c>
      <c r="T156" s="18" t="str">
        <f t="shared" si="157"/>
        <v>1+0.0015072311751162i</v>
      </c>
      <c r="U156" s="18">
        <f t="shared" si="169"/>
        <v>1.0000011358722625</v>
      </c>
      <c r="V156" s="18">
        <f t="shared" si="170"/>
        <v>1.5072300337690507E-3</v>
      </c>
      <c r="W156" s="32" t="str">
        <f t="shared" si="158"/>
        <v>1-0.00368434287250627i</v>
      </c>
      <c r="X156" s="18">
        <f t="shared" si="171"/>
        <v>1.0000067871681682</v>
      </c>
      <c r="Y156" s="18">
        <f t="shared" si="172"/>
        <v>-3.6843262017490297E-3</v>
      </c>
      <c r="Z156" s="32" t="str">
        <f t="shared" si="159"/>
        <v>0.999999769824025+0.00180826292156628i</v>
      </c>
      <c r="AA156" s="18">
        <f t="shared" si="173"/>
        <v>1.0000014047304617</v>
      </c>
      <c r="AB156" s="18">
        <f t="shared" si="174"/>
        <v>1.808261366892612E-3</v>
      </c>
      <c r="AC156" s="68" t="str">
        <f t="shared" si="175"/>
        <v>14.06113793494-11.4464727734066i</v>
      </c>
      <c r="AD156" s="66">
        <f t="shared" si="176"/>
        <v>25.16849035359456</v>
      </c>
      <c r="AE156" s="63">
        <f t="shared" si="177"/>
        <v>-39.147320781841913</v>
      </c>
      <c r="AF156" s="51" t="e">
        <f t="shared" si="178"/>
        <v>#NUM!</v>
      </c>
      <c r="AG156" s="51" t="str">
        <f t="shared" si="160"/>
        <v>1-1.13042338133715i</v>
      </c>
      <c r="AH156" s="51">
        <f t="shared" si="179"/>
        <v>1.5092571090022122</v>
      </c>
      <c r="AI156" s="51">
        <f t="shared" si="180"/>
        <v>-0.846541320812913</v>
      </c>
      <c r="AJ156" s="51" t="str">
        <f t="shared" si="161"/>
        <v>1+0.0015072311751162i</v>
      </c>
      <c r="AK156" s="51">
        <f t="shared" si="181"/>
        <v>1.0000011358722625</v>
      </c>
      <c r="AL156" s="51">
        <f t="shared" si="182"/>
        <v>1.5072300337690507E-3</v>
      </c>
      <c r="AM156" s="51" t="e">
        <f t="shared" si="162"/>
        <v>#NUM!</v>
      </c>
      <c r="AN156" s="51" t="e">
        <f t="shared" si="183"/>
        <v>#NUM!</v>
      </c>
      <c r="AO156" s="51" t="e">
        <f t="shared" si="184"/>
        <v>#NUM!</v>
      </c>
      <c r="AP156" s="60" t="e">
        <f t="shared" si="185"/>
        <v>#NUM!</v>
      </c>
      <c r="AQ156" s="51" t="e">
        <f t="shared" si="186"/>
        <v>#NUM!</v>
      </c>
      <c r="AR156" s="63" t="e">
        <f t="shared" si="187"/>
        <v>#NUM!</v>
      </c>
      <c r="AS156" s="32" t="str">
        <f t="shared" si="163"/>
        <v>-0.000170731707317073</v>
      </c>
      <c r="AT156" s="32" t="str">
        <f t="shared" si="164"/>
        <v>0.0000572747846544155i</v>
      </c>
      <c r="AU156" s="32">
        <f t="shared" si="188"/>
        <v>5.7274784654415499E-5</v>
      </c>
      <c r="AV156" s="32">
        <f t="shared" si="189"/>
        <v>1.5707963267948966</v>
      </c>
      <c r="AW156" s="32" t="str">
        <f t="shared" si="165"/>
        <v>1+0.0121942934862559i</v>
      </c>
      <c r="AX156" s="32">
        <f t="shared" si="190"/>
        <v>1.0000743476330292</v>
      </c>
      <c r="AY156" s="32">
        <f t="shared" si="191"/>
        <v>1.2193689106471653E-2</v>
      </c>
      <c r="AZ156" s="32" t="str">
        <f t="shared" si="166"/>
        <v>1+0.231691576238862i</v>
      </c>
      <c r="BA156" s="32">
        <f t="shared" si="192"/>
        <v>1.0264896426657448</v>
      </c>
      <c r="BB156" s="32">
        <f t="shared" si="193"/>
        <v>0.22767438092091449</v>
      </c>
      <c r="BC156" s="60" t="str">
        <f t="shared" si="194"/>
        <v>-0.654207157765706+2.98890032207248i</v>
      </c>
      <c r="BD156" s="51">
        <f t="shared" si="195"/>
        <v>9.7134600485543192</v>
      </c>
      <c r="BE156" s="63">
        <f t="shared" si="196"/>
        <v>102.34613420752676</v>
      </c>
      <c r="BF156" s="60" t="str">
        <f t="shared" si="197"/>
        <v>25.0134690756602+49.5157041219806i</v>
      </c>
      <c r="BG156" s="66">
        <f t="shared" si="198"/>
        <v>34.881950402148874</v>
      </c>
      <c r="BH156" s="63">
        <f t="shared" si="199"/>
        <v>63.198813425684854</v>
      </c>
      <c r="BI156" s="60" t="e">
        <f t="shared" si="152"/>
        <v>#NUM!</v>
      </c>
      <c r="BJ156" s="66" t="e">
        <f t="shared" si="200"/>
        <v>#NUM!</v>
      </c>
      <c r="BK156" s="63" t="e">
        <f t="shared" si="153"/>
        <v>#NUM!</v>
      </c>
      <c r="BL156" s="51">
        <f t="shared" si="201"/>
        <v>34.881950402148874</v>
      </c>
      <c r="BM156" s="63">
        <f t="shared" si="202"/>
        <v>63.198813425684854</v>
      </c>
    </row>
    <row r="157" spans="14:65" x14ac:dyDescent="0.3">
      <c r="N157" s="11">
        <v>39</v>
      </c>
      <c r="O157" s="52">
        <f t="shared" si="154"/>
        <v>245.4708915685033</v>
      </c>
      <c r="P157" s="50" t="str">
        <f t="shared" si="155"/>
        <v>23.3035714285714</v>
      </c>
      <c r="Q157" s="18" t="str">
        <f t="shared" si="156"/>
        <v>1+0.82625308888044i</v>
      </c>
      <c r="R157" s="18">
        <f t="shared" si="167"/>
        <v>1.2971870207816867</v>
      </c>
      <c r="S157" s="18">
        <f t="shared" si="168"/>
        <v>0.69054519508739054</v>
      </c>
      <c r="T157" s="18" t="str">
        <f t="shared" si="157"/>
        <v>1+0.00154233909924349i</v>
      </c>
      <c r="U157" s="18">
        <f t="shared" si="169"/>
        <v>1.0000011894042411</v>
      </c>
      <c r="V157" s="18">
        <f t="shared" si="170"/>
        <v>1.5423378762680641E-3</v>
      </c>
      <c r="W157" s="32" t="str">
        <f t="shared" si="158"/>
        <v>1-0.0037701622425952i</v>
      </c>
      <c r="X157" s="18">
        <f t="shared" si="171"/>
        <v>1.0000071070364127</v>
      </c>
      <c r="Y157" s="18">
        <f t="shared" si="172"/>
        <v>-3.7701443795638404E-3</v>
      </c>
      <c r="Z157" s="32" t="str">
        <f t="shared" si="159"/>
        <v>0.999999758976166+0.0018503827758399i</v>
      </c>
      <c r="AA157" s="18">
        <f t="shared" si="173"/>
        <v>1.0000014709333218</v>
      </c>
      <c r="AB157" s="18">
        <f t="shared" si="174"/>
        <v>1.8503811099771818E-3</v>
      </c>
      <c r="AC157" s="68" t="str">
        <f t="shared" si="175"/>
        <v>13.8022777819525-11.499211372504i</v>
      </c>
      <c r="AD157" s="66">
        <f t="shared" si="176"/>
        <v>25.088457086394627</v>
      </c>
      <c r="AE157" s="63">
        <f t="shared" si="177"/>
        <v>-39.798988179848592</v>
      </c>
      <c r="AF157" s="51" t="e">
        <f t="shared" si="178"/>
        <v>#NUM!</v>
      </c>
      <c r="AG157" s="51" t="str">
        <f t="shared" si="160"/>
        <v>1-1.15675432443262i</v>
      </c>
      <c r="AH157" s="51">
        <f t="shared" si="179"/>
        <v>1.5290783390963223</v>
      </c>
      <c r="AI157" s="51">
        <f t="shared" si="180"/>
        <v>-0.8579512479602468</v>
      </c>
      <c r="AJ157" s="51" t="str">
        <f t="shared" si="161"/>
        <v>1+0.00154233909924349i</v>
      </c>
      <c r="AK157" s="51">
        <f t="shared" si="181"/>
        <v>1.0000011894042411</v>
      </c>
      <c r="AL157" s="51">
        <f t="shared" si="182"/>
        <v>1.5423378762680641E-3</v>
      </c>
      <c r="AM157" s="51" t="e">
        <f t="shared" si="162"/>
        <v>#NUM!</v>
      </c>
      <c r="AN157" s="51" t="e">
        <f t="shared" si="183"/>
        <v>#NUM!</v>
      </c>
      <c r="AO157" s="51" t="e">
        <f t="shared" si="184"/>
        <v>#NUM!</v>
      </c>
      <c r="AP157" s="60" t="e">
        <f t="shared" si="185"/>
        <v>#NUM!</v>
      </c>
      <c r="AQ157" s="51" t="e">
        <f t="shared" si="186"/>
        <v>#NUM!</v>
      </c>
      <c r="AR157" s="63" t="e">
        <f t="shared" si="187"/>
        <v>#NUM!</v>
      </c>
      <c r="AS157" s="32" t="str">
        <f t="shared" si="163"/>
        <v>-0.000170731707317073</v>
      </c>
      <c r="AT157" s="32" t="str">
        <f t="shared" si="164"/>
        <v>0.0000586088857712528i</v>
      </c>
      <c r="AU157" s="32">
        <f t="shared" si="188"/>
        <v>5.8608885771252799E-5</v>
      </c>
      <c r="AV157" s="32">
        <f t="shared" si="189"/>
        <v>1.5707963267948966</v>
      </c>
      <c r="AW157" s="32" t="str">
        <f t="shared" si="165"/>
        <v>1+0.0124783350703005i</v>
      </c>
      <c r="AX157" s="32">
        <f t="shared" si="190"/>
        <v>1.0000778513926436</v>
      </c>
      <c r="AY157" s="32">
        <f t="shared" si="191"/>
        <v>1.2477687468416702E-2</v>
      </c>
      <c r="AZ157" s="32" t="str">
        <f t="shared" si="166"/>
        <v>1+0.237088366335709i</v>
      </c>
      <c r="BA157" s="32">
        <f t="shared" si="192"/>
        <v>1.0277212138764751</v>
      </c>
      <c r="BB157" s="32">
        <f t="shared" si="193"/>
        <v>0.23279010989973031</v>
      </c>
      <c r="BC157" s="60" t="str">
        <f t="shared" si="194"/>
        <v>-0.654202573761367+2.92123200150408i</v>
      </c>
      <c r="BD157" s="51">
        <f t="shared" si="195"/>
        <v>9.5238446077323005</v>
      </c>
      <c r="BE157" s="63">
        <f t="shared" si="196"/>
        <v>102.62297197961759</v>
      </c>
      <c r="BF157" s="60" t="str">
        <f t="shared" si="197"/>
        <v>24.5623786046957+47.8424692264065i</v>
      </c>
      <c r="BG157" s="66">
        <f t="shared" si="198"/>
        <v>34.612301694126934</v>
      </c>
      <c r="BH157" s="63">
        <f t="shared" si="199"/>
        <v>62.823983799768996</v>
      </c>
      <c r="BI157" s="60" t="e">
        <f t="shared" si="152"/>
        <v>#NUM!</v>
      </c>
      <c r="BJ157" s="66" t="e">
        <f t="shared" si="200"/>
        <v>#NUM!</v>
      </c>
      <c r="BK157" s="63" t="e">
        <f t="shared" si="153"/>
        <v>#NUM!</v>
      </c>
      <c r="BL157" s="51">
        <f t="shared" si="201"/>
        <v>34.612301694126934</v>
      </c>
      <c r="BM157" s="63">
        <f t="shared" si="202"/>
        <v>62.823983799768996</v>
      </c>
    </row>
    <row r="158" spans="14:65" x14ac:dyDescent="0.3">
      <c r="N158" s="11">
        <v>40</v>
      </c>
      <c r="O158" s="52">
        <f t="shared" si="154"/>
        <v>251.18864315095806</v>
      </c>
      <c r="P158" s="50" t="str">
        <f t="shared" si="155"/>
        <v>23.3035714285714</v>
      </c>
      <c r="Q158" s="18" t="str">
        <f t="shared" si="156"/>
        <v>1+0.845498995701684i</v>
      </c>
      <c r="R158" s="18">
        <f t="shared" si="167"/>
        <v>1.3095298972274578</v>
      </c>
      <c r="S158" s="18">
        <f t="shared" si="168"/>
        <v>0.70187518851302932</v>
      </c>
      <c r="T158" s="18" t="str">
        <f t="shared" si="157"/>
        <v>1+0.00157826479197648i</v>
      </c>
      <c r="U158" s="18">
        <f t="shared" si="169"/>
        <v>1.0000012454591012</v>
      </c>
      <c r="V158" s="18">
        <f t="shared" si="170"/>
        <v>1.5782634815347896E-3</v>
      </c>
      <c r="W158" s="32" t="str">
        <f t="shared" si="158"/>
        <v>1-0.00385798060260917i</v>
      </c>
      <c r="X158" s="18">
        <f t="shared" si="171"/>
        <v>1.0000074419794736</v>
      </c>
      <c r="Y158" s="18">
        <f t="shared" si="172"/>
        <v>-3.8579614620339116E-3</v>
      </c>
      <c r="Z158" s="32" t="str">
        <f t="shared" si="159"/>
        <v>0.999999747617062+0.00189348372755398i</v>
      </c>
      <c r="AA158" s="18">
        <f t="shared" si="173"/>
        <v>1.000001540256221</v>
      </c>
      <c r="AB158" s="18">
        <f t="shared" si="174"/>
        <v>1.8934819425500662E-3</v>
      </c>
      <c r="AC158" s="68" t="str">
        <f t="shared" si="175"/>
        <v>13.5411602916188-11.5462878364067i</v>
      </c>
      <c r="AD158" s="66">
        <f t="shared" si="176"/>
        <v>25.006203412035958</v>
      </c>
      <c r="AE158" s="63">
        <f t="shared" si="177"/>
        <v>-40.453591643485076</v>
      </c>
      <c r="AF158" s="51" t="e">
        <f t="shared" si="178"/>
        <v>#NUM!</v>
      </c>
      <c r="AG158" s="51" t="str">
        <f t="shared" si="160"/>
        <v>1-1.18369859398236i</v>
      </c>
      <c r="AH158" s="51">
        <f t="shared" si="179"/>
        <v>1.5495619901752289</v>
      </c>
      <c r="AI158" s="51">
        <f t="shared" si="180"/>
        <v>-0.86932325406682032</v>
      </c>
      <c r="AJ158" s="51" t="str">
        <f t="shared" si="161"/>
        <v>1+0.00157826479197648i</v>
      </c>
      <c r="AK158" s="51">
        <f t="shared" si="181"/>
        <v>1.0000012454591012</v>
      </c>
      <c r="AL158" s="51">
        <f t="shared" si="182"/>
        <v>1.5782634815347896E-3</v>
      </c>
      <c r="AM158" s="51" t="e">
        <f t="shared" si="162"/>
        <v>#NUM!</v>
      </c>
      <c r="AN158" s="51" t="e">
        <f t="shared" si="183"/>
        <v>#NUM!</v>
      </c>
      <c r="AO158" s="51" t="e">
        <f t="shared" si="184"/>
        <v>#NUM!</v>
      </c>
      <c r="AP158" s="60" t="e">
        <f t="shared" si="185"/>
        <v>#NUM!</v>
      </c>
      <c r="AQ158" s="51" t="e">
        <f t="shared" si="186"/>
        <v>#NUM!</v>
      </c>
      <c r="AR158" s="63" t="e">
        <f t="shared" si="187"/>
        <v>#NUM!</v>
      </c>
      <c r="AS158" s="32" t="str">
        <f t="shared" si="163"/>
        <v>-0.000170731707317073</v>
      </c>
      <c r="AT158" s="32" t="str">
        <f t="shared" si="164"/>
        <v>0.0000599740620951061i</v>
      </c>
      <c r="AU158" s="32">
        <f t="shared" si="188"/>
        <v>5.9974062095106101E-5</v>
      </c>
      <c r="AV158" s="32">
        <f t="shared" si="189"/>
        <v>1.5707963267948966</v>
      </c>
      <c r="AW158" s="32" t="str">
        <f t="shared" si="165"/>
        <v>1+0.0127689928327697i</v>
      </c>
      <c r="AX158" s="32">
        <f t="shared" si="190"/>
        <v>1.0000815202662048</v>
      </c>
      <c r="AY158" s="32">
        <f t="shared" si="191"/>
        <v>1.2768298917904012E-2</v>
      </c>
      <c r="AZ158" s="32" t="str">
        <f t="shared" si="166"/>
        <v>1+0.242610863822625i</v>
      </c>
      <c r="BA158" s="32">
        <f t="shared" si="192"/>
        <v>1.0290092474048813</v>
      </c>
      <c r="BB158" s="32">
        <f t="shared" si="193"/>
        <v>0.23801218245918018</v>
      </c>
      <c r="BC158" s="60" t="str">
        <f t="shared" si="194"/>
        <v>-0.654197773788421+2.85511255141783i</v>
      </c>
      <c r="BD158" s="51">
        <f t="shared" si="195"/>
        <v>9.3346918723629919</v>
      </c>
      <c r="BE158" s="63">
        <f t="shared" si="196"/>
        <v>102.90552388805141</v>
      </c>
      <c r="BF158" s="60" t="str">
        <f t="shared" si="197"/>
        <v>24.1073544067186+46.2150925074591i</v>
      </c>
      <c r="BG158" s="66">
        <f t="shared" si="198"/>
        <v>34.34089528439894</v>
      </c>
      <c r="BH158" s="63">
        <f t="shared" si="199"/>
        <v>62.451932244566322</v>
      </c>
      <c r="BI158" s="60" t="e">
        <f t="shared" si="152"/>
        <v>#NUM!</v>
      </c>
      <c r="BJ158" s="66" t="e">
        <f t="shared" si="200"/>
        <v>#NUM!</v>
      </c>
      <c r="BK158" s="63" t="e">
        <f t="shared" si="153"/>
        <v>#NUM!</v>
      </c>
      <c r="BL158" s="51">
        <f t="shared" si="201"/>
        <v>34.34089528439894</v>
      </c>
      <c r="BM158" s="63">
        <f t="shared" si="202"/>
        <v>62.451932244566322</v>
      </c>
    </row>
    <row r="159" spans="14:65" x14ac:dyDescent="0.3">
      <c r="N159" s="11">
        <v>41</v>
      </c>
      <c r="O159" s="52">
        <f t="shared" si="154"/>
        <v>257.03957827688663</v>
      </c>
      <c r="P159" s="50" t="str">
        <f t="shared" si="155"/>
        <v>23.3035714285714</v>
      </c>
      <c r="Q159" s="18" t="str">
        <f t="shared" si="156"/>
        <v>1+0.865193197281947i</v>
      </c>
      <c r="R159" s="18">
        <f t="shared" si="167"/>
        <v>1.3223309981328268</v>
      </c>
      <c r="S159" s="18">
        <f t="shared" si="168"/>
        <v>0.71324863648019599</v>
      </c>
      <c r="T159" s="18" t="str">
        <f t="shared" si="157"/>
        <v>1+0.00161502730159297i</v>
      </c>
      <c r="U159" s="18">
        <f t="shared" si="169"/>
        <v>1.0000013041557421</v>
      </c>
      <c r="V159" s="18">
        <f t="shared" si="170"/>
        <v>1.6150258974294992E-3</v>
      </c>
      <c r="W159" s="32" t="str">
        <f t="shared" si="158"/>
        <v>1-0.00394784451500504i</v>
      </c>
      <c r="X159" s="18">
        <f t="shared" si="171"/>
        <v>1.0000077927077942</v>
      </c>
      <c r="Y159" s="18">
        <f t="shared" si="172"/>
        <v>-3.9478240055177694E-3</v>
      </c>
      <c r="Z159" s="32" t="str">
        <f t="shared" si="159"/>
        <v>0.999999735722621+0.00193758862940363i</v>
      </c>
      <c r="AA159" s="18">
        <f t="shared" si="173"/>
        <v>1.0000016128462037</v>
      </c>
      <c r="AB159" s="18">
        <f t="shared" si="174"/>
        <v>1.9375867167376411E-3</v>
      </c>
      <c r="AC159" s="68" t="str">
        <f t="shared" si="175"/>
        <v>13.2780360905901-11.587582158944i</v>
      </c>
      <c r="AD159" s="66">
        <f t="shared" si="176"/>
        <v>24.921711122391827</v>
      </c>
      <c r="AE159" s="63">
        <f t="shared" si="177"/>
        <v>-41.110811641135214</v>
      </c>
      <c r="AF159" s="51" t="e">
        <f t="shared" si="178"/>
        <v>#NUM!</v>
      </c>
      <c r="AG159" s="51" t="str">
        <f t="shared" si="160"/>
        <v>1-1.21127047619473i</v>
      </c>
      <c r="AH159" s="51">
        <f t="shared" si="179"/>
        <v>1.570724726519898</v>
      </c>
      <c r="AI159" s="51">
        <f t="shared" si="180"/>
        <v>-0.88065160431844525</v>
      </c>
      <c r="AJ159" s="51" t="str">
        <f t="shared" si="161"/>
        <v>1+0.00161502730159297i</v>
      </c>
      <c r="AK159" s="51">
        <f t="shared" si="181"/>
        <v>1.0000013041557421</v>
      </c>
      <c r="AL159" s="51">
        <f t="shared" si="182"/>
        <v>1.6150258974294992E-3</v>
      </c>
      <c r="AM159" s="51" t="e">
        <f t="shared" si="162"/>
        <v>#NUM!</v>
      </c>
      <c r="AN159" s="51" t="e">
        <f t="shared" si="183"/>
        <v>#NUM!</v>
      </c>
      <c r="AO159" s="51" t="e">
        <f t="shared" si="184"/>
        <v>#NUM!</v>
      </c>
      <c r="AP159" s="60" t="e">
        <f t="shared" si="185"/>
        <v>#NUM!</v>
      </c>
      <c r="AQ159" s="51" t="e">
        <f t="shared" si="186"/>
        <v>#NUM!</v>
      </c>
      <c r="AR159" s="63" t="e">
        <f t="shared" si="187"/>
        <v>#NUM!</v>
      </c>
      <c r="AS159" s="32" t="str">
        <f t="shared" si="163"/>
        <v>-0.000170731707317073</v>
      </c>
      <c r="AT159" s="32" t="str">
        <f t="shared" si="164"/>
        <v>0.0000613710374605329i</v>
      </c>
      <c r="AU159" s="32">
        <f t="shared" si="188"/>
        <v>6.1371037460532905E-5</v>
      </c>
      <c r="AV159" s="32">
        <f t="shared" si="189"/>
        <v>1.5707963267948966</v>
      </c>
      <c r="AW159" s="32" t="str">
        <f t="shared" si="165"/>
        <v>1+0.0130664208842564i</v>
      </c>
      <c r="AX159" s="32">
        <f t="shared" si="190"/>
        <v>1.0000853620340238</v>
      </c>
      <c r="AY159" s="32">
        <f t="shared" si="191"/>
        <v>1.3065677344509252E-2</v>
      </c>
      <c r="AZ159" s="32" t="str">
        <f t="shared" si="166"/>
        <v>1+0.248261996800871i</v>
      </c>
      <c r="BA159" s="32">
        <f t="shared" si="192"/>
        <v>1.0303562583182362</v>
      </c>
      <c r="BB159" s="32">
        <f t="shared" si="193"/>
        <v>0.24334222766311381</v>
      </c>
      <c r="BC159" s="60" t="str">
        <f t="shared" si="194"/>
        <v>-0.6541927476752+2.79050691402059i</v>
      </c>
      <c r="BD159" s="51">
        <f t="shared" si="195"/>
        <v>9.1460212191714287</v>
      </c>
      <c r="BE159" s="63">
        <f t="shared" si="196"/>
        <v>103.193874454088</v>
      </c>
      <c r="BF159" s="60" t="str">
        <f t="shared" si="197"/>
        <v>23.6488332174813+44.6329637268783i</v>
      </c>
      <c r="BG159" s="66">
        <f t="shared" si="198"/>
        <v>34.067732341563257</v>
      </c>
      <c r="BH159" s="63">
        <f t="shared" si="199"/>
        <v>62.083062812952754</v>
      </c>
      <c r="BI159" s="60" t="e">
        <f t="shared" si="152"/>
        <v>#NUM!</v>
      </c>
      <c r="BJ159" s="66" t="e">
        <f t="shared" si="200"/>
        <v>#NUM!</v>
      </c>
      <c r="BK159" s="63" t="e">
        <f t="shared" si="153"/>
        <v>#NUM!</v>
      </c>
      <c r="BL159" s="51">
        <f t="shared" si="201"/>
        <v>34.067732341563257</v>
      </c>
      <c r="BM159" s="63">
        <f t="shared" si="202"/>
        <v>62.083062812952754</v>
      </c>
    </row>
    <row r="160" spans="14:65" x14ac:dyDescent="0.3">
      <c r="N160" s="11">
        <v>42</v>
      </c>
      <c r="O160" s="52">
        <f t="shared" si="154"/>
        <v>263.02679918953817</v>
      </c>
      <c r="P160" s="50" t="str">
        <f t="shared" si="155"/>
        <v>23.3035714285714</v>
      </c>
      <c r="Q160" s="18" t="str">
        <f t="shared" si="156"/>
        <v>1+0.885346135747595i</v>
      </c>
      <c r="R160" s="18">
        <f t="shared" si="167"/>
        <v>1.3356039008939735</v>
      </c>
      <c r="S160" s="18">
        <f t="shared" si="168"/>
        <v>0.72465980046572398</v>
      </c>
      <c r="T160" s="18" t="str">
        <f t="shared" si="157"/>
        <v>1+0.00165264612006218i</v>
      </c>
      <c r="U160" s="18">
        <f t="shared" si="169"/>
        <v>1.0000013656186666</v>
      </c>
      <c r="V160" s="18">
        <f t="shared" si="170"/>
        <v>1.6526446154740244E-3</v>
      </c>
      <c r="W160" s="32" t="str">
        <f t="shared" si="158"/>
        <v>1-0.00403980162681866i</v>
      </c>
      <c r="X160" s="18">
        <f t="shared" si="171"/>
        <v>1.0000081599652995</v>
      </c>
      <c r="Y160" s="18">
        <f t="shared" si="172"/>
        <v>-4.0397796505167935E-3</v>
      </c>
      <c r="Z160" s="32" t="str">
        <f t="shared" si="159"/>
        <v>0.999999723267612+0.0019827208663916i</v>
      </c>
      <c r="AA160" s="18">
        <f t="shared" si="173"/>
        <v>1.0000016888572412</v>
      </c>
      <c r="AB160" s="18">
        <f t="shared" si="174"/>
        <v>1.9827188169332538E-3</v>
      </c>
      <c r="AC160" s="68" t="str">
        <f t="shared" si="175"/>
        <v>13.0131639552671-11.6229880969594i</v>
      </c>
      <c r="AD160" s="66">
        <f t="shared" si="176"/>
        <v>24.834964185487184</v>
      </c>
      <c r="AE160" s="63">
        <f t="shared" si="177"/>
        <v>-41.77032233228568</v>
      </c>
      <c r="AF160" s="51" t="e">
        <f t="shared" si="178"/>
        <v>#NUM!</v>
      </c>
      <c r="AG160" s="51" t="str">
        <f t="shared" si="160"/>
        <v>1-1.23948459004664i</v>
      </c>
      <c r="AH160" s="51">
        <f t="shared" si="179"/>
        <v>1.5925834511770762</v>
      </c>
      <c r="AI160" s="51">
        <f t="shared" si="180"/>
        <v>-0.89193067566363771</v>
      </c>
      <c r="AJ160" s="51" t="str">
        <f t="shared" si="161"/>
        <v>1+0.00165264612006218i</v>
      </c>
      <c r="AK160" s="51">
        <f t="shared" si="181"/>
        <v>1.0000013656186666</v>
      </c>
      <c r="AL160" s="51">
        <f t="shared" si="182"/>
        <v>1.6526446154740244E-3</v>
      </c>
      <c r="AM160" s="51" t="e">
        <f t="shared" si="162"/>
        <v>#NUM!</v>
      </c>
      <c r="AN160" s="51" t="e">
        <f t="shared" si="183"/>
        <v>#NUM!</v>
      </c>
      <c r="AO160" s="51" t="e">
        <f t="shared" si="184"/>
        <v>#NUM!</v>
      </c>
      <c r="AP160" s="60" t="e">
        <f t="shared" si="185"/>
        <v>#NUM!</v>
      </c>
      <c r="AQ160" s="51" t="e">
        <f t="shared" si="186"/>
        <v>#NUM!</v>
      </c>
      <c r="AR160" s="63" t="e">
        <f t="shared" si="187"/>
        <v>#NUM!</v>
      </c>
      <c r="AS160" s="32" t="str">
        <f t="shared" si="163"/>
        <v>-0.000170731707317073</v>
      </c>
      <c r="AT160" s="32" t="str">
        <f t="shared" si="164"/>
        <v>0.0000628005525623629i</v>
      </c>
      <c r="AU160" s="32">
        <f t="shared" si="188"/>
        <v>6.2800552562362899E-5</v>
      </c>
      <c r="AV160" s="32">
        <f t="shared" si="189"/>
        <v>1.5707963267948966</v>
      </c>
      <c r="AW160" s="32" t="str">
        <f t="shared" si="165"/>
        <v>1+0.0133707769250504i</v>
      </c>
      <c r="AX160" s="32">
        <f t="shared" si="190"/>
        <v>1.0000893848429646</v>
      </c>
      <c r="AY160" s="32">
        <f t="shared" si="191"/>
        <v>1.336998021170294E-2</v>
      </c>
      <c r="AZ160" s="32" t="str">
        <f t="shared" si="166"/>
        <v>1+0.254044761575958i</v>
      </c>
      <c r="BA160" s="32">
        <f t="shared" si="192"/>
        <v>1.0317648670526562</v>
      </c>
      <c r="BB160" s="32">
        <f t="shared" si="193"/>
        <v>0.248781859662001</v>
      </c>
      <c r="BC160" s="60" t="str">
        <f t="shared" si="194"/>
        <v>-0.654187484771342+2.72738083413519i</v>
      </c>
      <c r="BD160" s="51">
        <f t="shared" si="195"/>
        <v>8.9578527240508272</v>
      </c>
      <c r="BE160" s="63">
        <f t="shared" si="196"/>
        <v>103.48810713974461</v>
      </c>
      <c r="BF160" s="60" t="str">
        <f t="shared" si="197"/>
        <v>23.1872659742152+43.0954673117315i</v>
      </c>
      <c r="BG160" s="66">
        <f t="shared" si="198"/>
        <v>33.792816909538004</v>
      </c>
      <c r="BH160" s="63">
        <f t="shared" si="199"/>
        <v>61.717784807458976</v>
      </c>
      <c r="BI160" s="60" t="e">
        <f t="shared" si="152"/>
        <v>#NUM!</v>
      </c>
      <c r="BJ160" s="66" t="e">
        <f t="shared" si="200"/>
        <v>#NUM!</v>
      </c>
      <c r="BK160" s="63" t="e">
        <f t="shared" si="153"/>
        <v>#NUM!</v>
      </c>
      <c r="BL160" s="51">
        <f t="shared" si="201"/>
        <v>33.792816909538004</v>
      </c>
      <c r="BM160" s="63">
        <f t="shared" si="202"/>
        <v>61.717784807458976</v>
      </c>
    </row>
    <row r="161" spans="14:65" x14ac:dyDescent="0.3">
      <c r="N161" s="11">
        <v>43</v>
      </c>
      <c r="O161" s="52">
        <f t="shared" si="154"/>
        <v>269.15348039269179</v>
      </c>
      <c r="P161" s="50" t="str">
        <f t="shared" si="155"/>
        <v>23.3035714285714</v>
      </c>
      <c r="Q161" s="18" t="str">
        <f t="shared" si="156"/>
        <v>1+0.905968496453361i</v>
      </c>
      <c r="R161" s="18">
        <f t="shared" si="167"/>
        <v>1.3493624111282942</v>
      </c>
      <c r="S161" s="18">
        <f t="shared" si="168"/>
        <v>0.73610284452438901</v>
      </c>
      <c r="T161" s="18" t="str">
        <f t="shared" si="157"/>
        <v>1+0.00169114119337961i</v>
      </c>
      <c r="U161" s="18">
        <f t="shared" si="169"/>
        <v>1.0000014299782456</v>
      </c>
      <c r="V161" s="18">
        <f t="shared" si="170"/>
        <v>1.6911395811844794E-3</v>
      </c>
      <c r="W161" s="32" t="str">
        <f t="shared" si="158"/>
        <v>1-0.00413390069492794i</v>
      </c>
      <c r="X161" s="18">
        <f t="shared" si="171"/>
        <v>1.0000085445309732</v>
      </c>
      <c r="Y161" s="18">
        <f t="shared" si="172"/>
        <v>-4.1338771469070995E-3</v>
      </c>
      <c r="Z161" s="32" t="str">
        <f t="shared" si="159"/>
        <v>0.999999710225616+0.00202890436822735i</v>
      </c>
      <c r="AA161" s="18">
        <f t="shared" si="173"/>
        <v>1.000001768450562</v>
      </c>
      <c r="AB161" s="18">
        <f t="shared" si="174"/>
        <v>2.0289021721933754E-3</v>
      </c>
      <c r="AC161" s="68" t="str">
        <f t="shared" si="175"/>
        <v>12.7468098381204-11.6524138274917i</v>
      </c>
      <c r="AD161" s="66">
        <f t="shared" si="176"/>
        <v>24.745948811001149</v>
      </c>
      <c r="AE161" s="63">
        <f t="shared" si="177"/>
        <v>-42.431792363307558</v>
      </c>
      <c r="AF161" s="51" t="e">
        <f t="shared" si="178"/>
        <v>#NUM!</v>
      </c>
      <c r="AG161" s="51" t="str">
        <f t="shared" si="160"/>
        <v>1-1.26835589503471i</v>
      </c>
      <c r="AH161" s="51">
        <f t="shared" si="179"/>
        <v>1.6151553103244594</v>
      </c>
      <c r="AI161" s="51">
        <f t="shared" si="180"/>
        <v>-0.90315496996611544</v>
      </c>
      <c r="AJ161" s="51" t="str">
        <f t="shared" si="161"/>
        <v>1+0.00169114119337961i</v>
      </c>
      <c r="AK161" s="51">
        <f t="shared" si="181"/>
        <v>1.0000014299782456</v>
      </c>
      <c r="AL161" s="51">
        <f t="shared" si="182"/>
        <v>1.6911395811844794E-3</v>
      </c>
      <c r="AM161" s="51" t="e">
        <f t="shared" si="162"/>
        <v>#NUM!</v>
      </c>
      <c r="AN161" s="51" t="e">
        <f t="shared" si="183"/>
        <v>#NUM!</v>
      </c>
      <c r="AO161" s="51" t="e">
        <f t="shared" si="184"/>
        <v>#NUM!</v>
      </c>
      <c r="AP161" s="60" t="e">
        <f t="shared" si="185"/>
        <v>#NUM!</v>
      </c>
      <c r="AQ161" s="51" t="e">
        <f t="shared" si="186"/>
        <v>#NUM!</v>
      </c>
      <c r="AR161" s="63" t="e">
        <f t="shared" si="187"/>
        <v>#NUM!</v>
      </c>
      <c r="AS161" s="32" t="str">
        <f t="shared" si="163"/>
        <v>-0.000170731707317073</v>
      </c>
      <c r="AT161" s="32" t="str">
        <f t="shared" si="164"/>
        <v>0.0000642633653484252i</v>
      </c>
      <c r="AU161" s="32">
        <f t="shared" si="188"/>
        <v>6.4263365348425197E-5</v>
      </c>
      <c r="AV161" s="32">
        <f t="shared" si="189"/>
        <v>1.5707963267948966</v>
      </c>
      <c r="AW161" s="32" t="str">
        <f t="shared" si="165"/>
        <v>1+0.0136822223287533i</v>
      </c>
      <c r="AX161" s="32">
        <f t="shared" si="190"/>
        <v>1.0000935972237066</v>
      </c>
      <c r="AY161" s="32">
        <f t="shared" si="191"/>
        <v>1.3681368639335785E-2</v>
      </c>
      <c r="AZ161" s="32" t="str">
        <f t="shared" si="166"/>
        <v>1+0.259962224246314i</v>
      </c>
      <c r="BA161" s="32">
        <f t="shared" si="192"/>
        <v>1.0332378032355818</v>
      </c>
      <c r="BB161" s="32">
        <f t="shared" si="193"/>
        <v>0.25433267441950569</v>
      </c>
      <c r="BC161" s="60" t="str">
        <f t="shared" si="194"/>
        <v>-0.654181973925227+2.66570084103589i</v>
      </c>
      <c r="BD161" s="51">
        <f t="shared" si="195"/>
        <v>8.7702071771428773</v>
      </c>
      <c r="BE161" s="63">
        <f t="shared" si="196"/>
        <v>103.78830415551596</v>
      </c>
      <c r="BF161" s="60" t="str">
        <f t="shared" si="197"/>
        <v>22.7231161188918+41.6019807846642i</v>
      </c>
      <c r="BG161" s="66">
        <f t="shared" si="198"/>
        <v>33.516155988144021</v>
      </c>
      <c r="BH161" s="63">
        <f t="shared" si="199"/>
        <v>61.35651179220833</v>
      </c>
      <c r="BI161" s="60" t="e">
        <f t="shared" si="152"/>
        <v>#NUM!</v>
      </c>
      <c r="BJ161" s="66" t="e">
        <f t="shared" si="200"/>
        <v>#NUM!</v>
      </c>
      <c r="BK161" s="63" t="e">
        <f t="shared" si="153"/>
        <v>#NUM!</v>
      </c>
      <c r="BL161" s="51">
        <f t="shared" si="201"/>
        <v>33.516155988144021</v>
      </c>
      <c r="BM161" s="63">
        <f t="shared" si="202"/>
        <v>61.35651179220833</v>
      </c>
    </row>
    <row r="162" spans="14:65" x14ac:dyDescent="0.3">
      <c r="N162" s="11">
        <v>44</v>
      </c>
      <c r="O162" s="52">
        <f t="shared" si="154"/>
        <v>275.42287033381683</v>
      </c>
      <c r="P162" s="50" t="str">
        <f t="shared" si="155"/>
        <v>23.3035714285714</v>
      </c>
      <c r="Q162" s="18" t="str">
        <f t="shared" si="156"/>
        <v>1+0.927071213647857i</v>
      </c>
      <c r="R162" s="18">
        <f t="shared" si="167"/>
        <v>1.3636205612906072</v>
      </c>
      <c r="S162" s="18">
        <f t="shared" si="168"/>
        <v>0.74757184975683078</v>
      </c>
      <c r="T162" s="18" t="str">
        <f t="shared" si="157"/>
        <v>1+0.00173053293214267i</v>
      </c>
      <c r="U162" s="18">
        <f t="shared" si="169"/>
        <v>1.0000014973709936</v>
      </c>
      <c r="V162" s="18">
        <f t="shared" si="170"/>
        <v>1.7305312046446033E-3</v>
      </c>
      <c r="W162" s="32" t="str">
        <f t="shared" si="158"/>
        <v>1-0.00423019161190431i</v>
      </c>
      <c r="X162" s="18">
        <f t="shared" si="171"/>
        <v>1.0000089472205103</v>
      </c>
      <c r="Y162" s="18">
        <f t="shared" si="172"/>
        <v>-4.2301663797575714E-3</v>
      </c>
      <c r="Z162" s="32" t="str">
        <f t="shared" si="159"/>
        <v>0.99999969656897+0.00207616362201486i</v>
      </c>
      <c r="AA162" s="18">
        <f t="shared" si="173"/>
        <v>1.000001851794994</v>
      </c>
      <c r="AB162" s="18">
        <f t="shared" si="174"/>
        <v>2.076161268922295E-3</v>
      </c>
      <c r="AC162" s="68" t="str">
        <f t="shared" si="175"/>
        <v>12.4792458321941-11.6757825224958i</v>
      </c>
      <c r="AD162" s="66">
        <f t="shared" si="176"/>
        <v>24.654653507185348</v>
      </c>
      <c r="AE162" s="63">
        <f t="shared" si="177"/>
        <v>-43.094885698008738</v>
      </c>
      <c r="AF162" s="51" t="e">
        <f t="shared" si="178"/>
        <v>#NUM!</v>
      </c>
      <c r="AG162" s="51" t="str">
        <f t="shared" si="160"/>
        <v>1-1.29789969910701i</v>
      </c>
      <c r="AH162" s="51">
        <f t="shared" si="179"/>
        <v>1.6384576982461485</v>
      </c>
      <c r="AI162" s="51">
        <f t="shared" si="180"/>
        <v>-0.9143191264015077</v>
      </c>
      <c r="AJ162" s="51" t="str">
        <f t="shared" si="161"/>
        <v>1+0.00173053293214267i</v>
      </c>
      <c r="AK162" s="51">
        <f t="shared" si="181"/>
        <v>1.0000014973709936</v>
      </c>
      <c r="AL162" s="51">
        <f t="shared" si="182"/>
        <v>1.7305312046446033E-3</v>
      </c>
      <c r="AM162" s="51" t="e">
        <f t="shared" si="162"/>
        <v>#NUM!</v>
      </c>
      <c r="AN162" s="51" t="e">
        <f t="shared" si="183"/>
        <v>#NUM!</v>
      </c>
      <c r="AO162" s="51" t="e">
        <f t="shared" si="184"/>
        <v>#NUM!</v>
      </c>
      <c r="AP162" s="60" t="e">
        <f t="shared" si="185"/>
        <v>#NUM!</v>
      </c>
      <c r="AQ162" s="51" t="e">
        <f t="shared" si="186"/>
        <v>#NUM!</v>
      </c>
      <c r="AR162" s="63" t="e">
        <f t="shared" si="187"/>
        <v>#NUM!</v>
      </c>
      <c r="AS162" s="32" t="str">
        <f t="shared" si="163"/>
        <v>-0.000170731707317073</v>
      </c>
      <c r="AT162" s="32" t="str">
        <f t="shared" si="164"/>
        <v>0.0000657602514214213i</v>
      </c>
      <c r="AU162" s="32">
        <f t="shared" si="188"/>
        <v>6.5760251421421301E-5</v>
      </c>
      <c r="AV162" s="32">
        <f t="shared" si="189"/>
        <v>1.5707963267948966</v>
      </c>
      <c r="AW162" s="32" t="str">
        <f t="shared" si="165"/>
        <v>1+0.0140009222278406i</v>
      </c>
      <c r="AX162" s="32">
        <f t="shared" si="190"/>
        <v>1.0000980081088204</v>
      </c>
      <c r="AY162" s="32">
        <f t="shared" si="191"/>
        <v>1.4000007487990539E-2</v>
      </c>
      <c r="AZ162" s="32" t="str">
        <f t="shared" si="166"/>
        <v>1+0.266017522328971i</v>
      </c>
      <c r="BA162" s="32">
        <f t="shared" si="192"/>
        <v>1.0347779095951193</v>
      </c>
      <c r="BB162" s="32">
        <f t="shared" si="193"/>
        <v>0.259996246242573</v>
      </c>
      <c r="BC162" s="60" t="str">
        <f t="shared" si="194"/>
        <v>-0.654176203460443+2.60543423069969i</v>
      </c>
      <c r="BD162" s="51">
        <f t="shared" si="195"/>
        <v>8.5831060972710507</v>
      </c>
      <c r="BE162" s="63">
        <f t="shared" si="196"/>
        <v>104.09454625673008</v>
      </c>
      <c r="BF162" s="60" t="str">
        <f t="shared" si="197"/>
        <v>22.2568577937614+40.151873347511i</v>
      </c>
      <c r="BG162" s="66">
        <f t="shared" si="198"/>
        <v>33.237759604456386</v>
      </c>
      <c r="BH162" s="63">
        <f t="shared" si="199"/>
        <v>60.999660558721359</v>
      </c>
      <c r="BI162" s="60" t="e">
        <f t="shared" si="152"/>
        <v>#NUM!</v>
      </c>
      <c r="BJ162" s="66" t="e">
        <f t="shared" si="200"/>
        <v>#NUM!</v>
      </c>
      <c r="BK162" s="63" t="e">
        <f t="shared" si="153"/>
        <v>#NUM!</v>
      </c>
      <c r="BL162" s="51">
        <f t="shared" si="201"/>
        <v>33.237759604456386</v>
      </c>
      <c r="BM162" s="63">
        <f t="shared" si="202"/>
        <v>60.999660558721359</v>
      </c>
    </row>
    <row r="163" spans="14:65" x14ac:dyDescent="0.3">
      <c r="N163" s="11">
        <v>45</v>
      </c>
      <c r="O163" s="52">
        <f t="shared" si="154"/>
        <v>281.83829312644554</v>
      </c>
      <c r="P163" s="50" t="str">
        <f t="shared" si="155"/>
        <v>23.3035714285714</v>
      </c>
      <c r="Q163" s="18" t="str">
        <f t="shared" si="156"/>
        <v>1+0.948665476271066i</v>
      </c>
      <c r="R163" s="18">
        <f t="shared" si="167"/>
        <v>1.3783926094798276</v>
      </c>
      <c r="S163" s="18">
        <f t="shared" si="168"/>
        <v>0.75906082929927576</v>
      </c>
      <c r="T163" s="18" t="str">
        <f t="shared" si="157"/>
        <v>1+0.00177084222237266i</v>
      </c>
      <c r="U163" s="18">
        <f t="shared" si="169"/>
        <v>1.0000015679398591</v>
      </c>
      <c r="V163" s="18">
        <f t="shared" si="170"/>
        <v>1.7708403713252885E-3</v>
      </c>
      <c r="W163" s="32" t="str">
        <f t="shared" si="158"/>
        <v>1-0.0043287254324665i</v>
      </c>
      <c r="X163" s="18">
        <f t="shared" si="171"/>
        <v>1.0000093688880467</v>
      </c>
      <c r="Y163" s="18">
        <f t="shared" si="172"/>
        <v>-4.3286983957478388E-3</v>
      </c>
      <c r="Z163" s="32" t="str">
        <f t="shared" si="159"/>
        <v>0.999999682268706+0.00212452368523604i</v>
      </c>
      <c r="AA163" s="18">
        <f t="shared" si="173"/>
        <v>1.0000019390673209</v>
      </c>
      <c r="AB163" s="18">
        <f t="shared" si="174"/>
        <v>2.1245211638521921E-3</v>
      </c>
      <c r="AC163" s="68" t="str">
        <f t="shared" si="175"/>
        <v>12.2107490820395-11.693032834484i</v>
      </c>
      <c r="AD163" s="66">
        <f t="shared" si="176"/>
        <v>24.561069128704904</v>
      </c>
      <c r="AE163" s="63">
        <f t="shared" si="177"/>
        <v>-43.75926247811676</v>
      </c>
      <c r="AF163" s="51" t="e">
        <f t="shared" si="178"/>
        <v>#NUM!</v>
      </c>
      <c r="AG163" s="51" t="str">
        <f t="shared" si="160"/>
        <v>1-1.3281316667795i</v>
      </c>
      <c r="AH163" s="51">
        <f t="shared" si="179"/>
        <v>1.662508262927584</v>
      </c>
      <c r="AI163" s="51">
        <f t="shared" si="180"/>
        <v>-0.92541793303703979</v>
      </c>
      <c r="AJ163" s="51" t="str">
        <f t="shared" si="161"/>
        <v>1+0.00177084222237266i</v>
      </c>
      <c r="AK163" s="51">
        <f t="shared" si="181"/>
        <v>1.0000015679398591</v>
      </c>
      <c r="AL163" s="51">
        <f t="shared" si="182"/>
        <v>1.7708403713252885E-3</v>
      </c>
      <c r="AM163" s="51" t="e">
        <f t="shared" si="162"/>
        <v>#NUM!</v>
      </c>
      <c r="AN163" s="51" t="e">
        <f t="shared" si="183"/>
        <v>#NUM!</v>
      </c>
      <c r="AO163" s="51" t="e">
        <f t="shared" si="184"/>
        <v>#NUM!</v>
      </c>
      <c r="AP163" s="60" t="e">
        <f t="shared" si="185"/>
        <v>#NUM!</v>
      </c>
      <c r="AQ163" s="51" t="e">
        <f t="shared" si="186"/>
        <v>#NUM!</v>
      </c>
      <c r="AR163" s="63" t="e">
        <f t="shared" si="187"/>
        <v>#NUM!</v>
      </c>
      <c r="AS163" s="32" t="str">
        <f t="shared" si="163"/>
        <v>-0.000170731707317073</v>
      </c>
      <c r="AT163" s="32" t="str">
        <f t="shared" si="164"/>
        <v>0.0000672920044501609i</v>
      </c>
      <c r="AU163" s="32">
        <f t="shared" si="188"/>
        <v>6.7292004450160894E-5</v>
      </c>
      <c r="AV163" s="32">
        <f t="shared" si="189"/>
        <v>1.5707963267948966</v>
      </c>
      <c r="AW163" s="32" t="str">
        <f t="shared" si="165"/>
        <v>1+0.0143270456012171i</v>
      </c>
      <c r="AX163" s="32">
        <f t="shared" si="190"/>
        <v>1.0001026268516944</v>
      </c>
      <c r="AY163" s="32">
        <f t="shared" si="191"/>
        <v>1.4326065445240652E-2</v>
      </c>
      <c r="AZ163" s="32" t="str">
        <f t="shared" si="166"/>
        <v>1+0.272213866423125i</v>
      </c>
      <c r="BA163" s="32">
        <f t="shared" si="192"/>
        <v>1.0363881459535453</v>
      </c>
      <c r="BB163" s="32">
        <f t="shared" si="193"/>
        <v>0.26577412411036305</v>
      </c>
      <c r="BC163" s="60" t="str">
        <f t="shared" si="194"/>
        <v>-0.654170161151144+2.54654904846395i</v>
      </c>
      <c r="BD163" s="51">
        <f t="shared" si="195"/>
        <v>8.3965717456110252</v>
      </c>
      <c r="BE163" s="63">
        <f t="shared" si="196"/>
        <v>104.4069125282694</v>
      </c>
      <c r="BF163" s="60" t="str">
        <f t="shared" si="197"/>
        <v>21.788973943539+38.7445046295798i</v>
      </c>
      <c r="BG163" s="66">
        <f t="shared" si="198"/>
        <v>32.957640874315935</v>
      </c>
      <c r="BH163" s="63">
        <f t="shared" si="199"/>
        <v>60.64765005015267</v>
      </c>
      <c r="BI163" s="60" t="e">
        <f t="shared" si="152"/>
        <v>#NUM!</v>
      </c>
      <c r="BJ163" s="66" t="e">
        <f t="shared" si="200"/>
        <v>#NUM!</v>
      </c>
      <c r="BK163" s="63" t="e">
        <f t="shared" si="153"/>
        <v>#NUM!</v>
      </c>
      <c r="BL163" s="51">
        <f t="shared" si="201"/>
        <v>32.957640874315935</v>
      </c>
      <c r="BM163" s="63">
        <f t="shared" si="202"/>
        <v>60.64765005015267</v>
      </c>
    </row>
    <row r="164" spans="14:65" x14ac:dyDescent="0.3">
      <c r="N164" s="11">
        <v>46</v>
      </c>
      <c r="O164" s="52">
        <f t="shared" si="154"/>
        <v>288.40315031266073</v>
      </c>
      <c r="P164" s="50" t="str">
        <f t="shared" si="155"/>
        <v>23.3035714285714</v>
      </c>
      <c r="Q164" s="18" t="str">
        <f t="shared" si="156"/>
        <v>1+0.970762733886866i</v>
      </c>
      <c r="R164" s="18">
        <f t="shared" si="167"/>
        <v>1.3936930384785247</v>
      </c>
      <c r="S164" s="18">
        <f t="shared" si="168"/>
        <v>0.77056374374459602</v>
      </c>
      <c r="T164" s="18" t="str">
        <f t="shared" si="157"/>
        <v>1+0.00181209043658882i</v>
      </c>
      <c r="U164" s="18">
        <f t="shared" si="169"/>
        <v>1.0000016418345274</v>
      </c>
      <c r="V164" s="18">
        <f t="shared" si="170"/>
        <v>1.8120884531560024E-3</v>
      </c>
      <c r="W164" s="32" t="str">
        <f t="shared" si="158"/>
        <v>1-0.00442955440055045i</v>
      </c>
      <c r="X164" s="18">
        <f t="shared" si="171"/>
        <v>1.0000098104279715</v>
      </c>
      <c r="Y164" s="18">
        <f t="shared" si="172"/>
        <v>-4.429525430199803E-3</v>
      </c>
      <c r="Z164" s="32" t="str">
        <f t="shared" si="159"/>
        <v>0.999999667294492+0.00217401019903652i</v>
      </c>
      <c r="AA164" s="18">
        <f t="shared" si="173"/>
        <v>1.0000020304526587</v>
      </c>
      <c r="AB164" s="18">
        <f t="shared" si="174"/>
        <v>2.174007497325344E-3</v>
      </c>
      <c r="AC164" s="68" t="str">
        <f t="shared" si="175"/>
        <v>11.9416006501161-11.704119287422i</v>
      </c>
      <c r="AD164" s="66">
        <f t="shared" si="176"/>
        <v>24.465188914981944</v>
      </c>
      <c r="AE164" s="63">
        <f t="shared" si="177"/>
        <v>-44.424579908518176</v>
      </c>
      <c r="AF164" s="51" t="e">
        <f t="shared" si="178"/>
        <v>#NUM!</v>
      </c>
      <c r="AG164" s="51" t="str">
        <f t="shared" si="160"/>
        <v>1-1.35906782744162i</v>
      </c>
      <c r="AH164" s="51">
        <f t="shared" si="179"/>
        <v>1.6873249122759033</v>
      </c>
      <c r="AI164" s="51">
        <f t="shared" si="180"/>
        <v>-0.93644633754182915</v>
      </c>
      <c r="AJ164" s="51" t="str">
        <f t="shared" si="161"/>
        <v>1+0.00181209043658882i</v>
      </c>
      <c r="AK164" s="51">
        <f t="shared" si="181"/>
        <v>1.0000016418345274</v>
      </c>
      <c r="AL164" s="51">
        <f t="shared" si="182"/>
        <v>1.8120884531560024E-3</v>
      </c>
      <c r="AM164" s="51" t="e">
        <f t="shared" si="162"/>
        <v>#NUM!</v>
      </c>
      <c r="AN164" s="51" t="e">
        <f t="shared" si="183"/>
        <v>#NUM!</v>
      </c>
      <c r="AO164" s="51" t="e">
        <f t="shared" si="184"/>
        <v>#NUM!</v>
      </c>
      <c r="AP164" s="60" t="e">
        <f t="shared" si="185"/>
        <v>#NUM!</v>
      </c>
      <c r="AQ164" s="51" t="e">
        <f t="shared" si="186"/>
        <v>#NUM!</v>
      </c>
      <c r="AR164" s="63" t="e">
        <f t="shared" si="187"/>
        <v>#NUM!</v>
      </c>
      <c r="AS164" s="32" t="str">
        <f t="shared" si="163"/>
        <v>-0.000170731707317073</v>
      </c>
      <c r="AT164" s="32" t="str">
        <f t="shared" si="164"/>
        <v>0.000068859436590375i</v>
      </c>
      <c r="AU164" s="32">
        <f t="shared" si="188"/>
        <v>6.8859436590375004E-5</v>
      </c>
      <c r="AV164" s="32">
        <f t="shared" si="189"/>
        <v>1.5707963267948966</v>
      </c>
      <c r="AW164" s="32" t="str">
        <f t="shared" si="165"/>
        <v>1+0.0146607653638123i</v>
      </c>
      <c r="AX164" s="32">
        <f t="shared" si="190"/>
        <v>1.0001074632463518</v>
      </c>
      <c r="AY164" s="32">
        <f t="shared" si="191"/>
        <v>1.4659715113856298E-2</v>
      </c>
      <c r="AZ164" s="32" t="str">
        <f t="shared" si="166"/>
        <v>1+0.278554541912434i</v>
      </c>
      <c r="BA164" s="32">
        <f t="shared" si="192"/>
        <v>1.0380715933017559</v>
      </c>
      <c r="BB164" s="32">
        <f t="shared" si="193"/>
        <v>0.27166782779794113</v>
      </c>
      <c r="BC164" s="60" t="str">
        <f t="shared" si="194"/>
        <v>-0.654163834196217+2.48901407208115i</v>
      </c>
      <c r="BD164" s="51">
        <f t="shared" si="195"/>
        <v>8.2106271384744272</v>
      </c>
      <c r="BE164" s="63">
        <f t="shared" si="196"/>
        <v>104.7254801574208</v>
      </c>
      <c r="BF164" s="60" t="str">
        <f t="shared" si="197"/>
        <v>21.3199543399898+37.3792236102623i</v>
      </c>
      <c r="BG164" s="66">
        <f t="shared" si="198"/>
        <v>32.675816053456387</v>
      </c>
      <c r="BH164" s="63">
        <f t="shared" si="199"/>
        <v>60.300900248902636</v>
      </c>
      <c r="BI164" s="60" t="e">
        <f t="shared" si="152"/>
        <v>#NUM!</v>
      </c>
      <c r="BJ164" s="66" t="e">
        <f t="shared" si="200"/>
        <v>#NUM!</v>
      </c>
      <c r="BK164" s="63" t="e">
        <f t="shared" si="153"/>
        <v>#NUM!</v>
      </c>
      <c r="BL164" s="51">
        <f t="shared" si="201"/>
        <v>32.675816053456387</v>
      </c>
      <c r="BM164" s="63">
        <f t="shared" si="202"/>
        <v>60.300900248902636</v>
      </c>
    </row>
    <row r="165" spans="14:65" x14ac:dyDescent="0.3">
      <c r="N165" s="11">
        <v>47</v>
      </c>
      <c r="O165" s="52">
        <f t="shared" si="154"/>
        <v>295.12092266663871</v>
      </c>
      <c r="P165" s="50" t="str">
        <f t="shared" si="155"/>
        <v>23.3035714285714</v>
      </c>
      <c r="Q165" s="18" t="str">
        <f t="shared" si="156"/>
        <v>1+0.993374702753736i</v>
      </c>
      <c r="R165" s="18">
        <f t="shared" si="167"/>
        <v>1.4095365550673289</v>
      </c>
      <c r="S165" s="18">
        <f t="shared" si="168"/>
        <v>0.78207451689919261</v>
      </c>
      <c r="T165" s="18" t="str">
        <f t="shared" si="157"/>
        <v>1+0.00185429944514031i</v>
      </c>
      <c r="U165" s="18">
        <f t="shared" si="169"/>
        <v>1.0000017192117383</v>
      </c>
      <c r="V165" s="18">
        <f t="shared" si="170"/>
        <v>1.8542973198539528E-3</v>
      </c>
      <c r="W165" s="32" t="str">
        <f t="shared" si="158"/>
        <v>1-0.00453273197700965i</v>
      </c>
      <c r="X165" s="18">
        <f t="shared" si="171"/>
        <v>1.0000102727768228</v>
      </c>
      <c r="Y165" s="18">
        <f t="shared" si="172"/>
        <v>-4.5327009347368753E-3</v>
      </c>
      <c r="Z165" s="32" t="str">
        <f t="shared" si="159"/>
        <v>0.999999651614564+0.00222464940182096i</v>
      </c>
      <c r="AA165" s="18">
        <f t="shared" si="173"/>
        <v>1.0000021261448448</v>
      </c>
      <c r="AB165" s="18">
        <f t="shared" si="174"/>
        <v>2.2246465068856088E-3</v>
      </c>
      <c r="AC165" s="68" t="str">
        <f t="shared" si="175"/>
        <v>11.6720843483718-11.7090125682696i</v>
      </c>
      <c r="AD165" s="66">
        <f t="shared" si="176"/>
        <v>24.367008518703265</v>
      </c>
      <c r="AE165" s="63">
        <f t="shared" si="177"/>
        <v>-45.090493161774802</v>
      </c>
      <c r="AF165" s="51" t="e">
        <f t="shared" si="178"/>
        <v>#NUM!</v>
      </c>
      <c r="AG165" s="51" t="str">
        <f t="shared" si="160"/>
        <v>1-1.39072458385524i</v>
      </c>
      <c r="AH165" s="51">
        <f t="shared" si="179"/>
        <v>1.7129258209681264</v>
      </c>
      <c r="AI165" s="51">
        <f t="shared" si="180"/>
        <v>-0.9473994569844012</v>
      </c>
      <c r="AJ165" s="51" t="str">
        <f t="shared" si="161"/>
        <v>1+0.00185429944514031i</v>
      </c>
      <c r="AK165" s="51">
        <f t="shared" si="181"/>
        <v>1.0000017192117383</v>
      </c>
      <c r="AL165" s="51">
        <f t="shared" si="182"/>
        <v>1.8542973198539528E-3</v>
      </c>
      <c r="AM165" s="51" t="e">
        <f t="shared" si="162"/>
        <v>#NUM!</v>
      </c>
      <c r="AN165" s="51" t="e">
        <f t="shared" si="183"/>
        <v>#NUM!</v>
      </c>
      <c r="AO165" s="51" t="e">
        <f t="shared" si="184"/>
        <v>#NUM!</v>
      </c>
      <c r="AP165" s="60" t="e">
        <f t="shared" si="185"/>
        <v>#NUM!</v>
      </c>
      <c r="AQ165" s="51" t="e">
        <f t="shared" si="186"/>
        <v>#NUM!</v>
      </c>
      <c r="AR165" s="63" t="e">
        <f t="shared" si="187"/>
        <v>#NUM!</v>
      </c>
      <c r="AS165" s="32" t="str">
        <f t="shared" si="163"/>
        <v>-0.000170731707317073</v>
      </c>
      <c r="AT165" s="32" t="str">
        <f t="shared" si="164"/>
        <v>0.0000704633789153317i</v>
      </c>
      <c r="AU165" s="32">
        <f t="shared" si="188"/>
        <v>7.0463378915331694E-5</v>
      </c>
      <c r="AV165" s="32">
        <f t="shared" si="189"/>
        <v>1.5707963267948966</v>
      </c>
      <c r="AW165" s="32" t="str">
        <f t="shared" si="165"/>
        <v>1+0.0150022584582615i</v>
      </c>
      <c r="AX165" s="32">
        <f t="shared" si="190"/>
        <v>1.0001125275481997</v>
      </c>
      <c r="AY165" s="32">
        <f t="shared" si="191"/>
        <v>1.5001133101996815E-2</v>
      </c>
      <c r="AZ165" s="32" t="str">
        <f t="shared" si="166"/>
        <v>1+0.285042910706969i</v>
      </c>
      <c r="BA165" s="32">
        <f t="shared" si="192"/>
        <v>1.0398314579509031</v>
      </c>
      <c r="BB165" s="32">
        <f t="shared" si="193"/>
        <v>0.27767884379134461</v>
      </c>
      <c r="BC165" s="60" t="str">
        <f t="shared" si="194"/>
        <v>-0.654157209192259+2.43279879516194i</v>
      </c>
      <c r="BD165" s="51">
        <f t="shared" si="195"/>
        <v>8.0252960590741989</v>
      </c>
      <c r="BE165" s="63">
        <f t="shared" si="196"/>
        <v>105.05032419465812</v>
      </c>
      <c r="BF165" s="60" t="str">
        <f t="shared" si="197"/>
        <v>20.8502935458348+36.0553677238038i</v>
      </c>
      <c r="BG165" s="66">
        <f t="shared" si="198"/>
        <v>32.392304577777473</v>
      </c>
      <c r="BH165" s="63">
        <f t="shared" si="199"/>
        <v>59.959831032883272</v>
      </c>
      <c r="BI165" s="60" t="e">
        <f t="shared" si="152"/>
        <v>#NUM!</v>
      </c>
      <c r="BJ165" s="66" t="e">
        <f t="shared" si="200"/>
        <v>#NUM!</v>
      </c>
      <c r="BK165" s="63" t="e">
        <f t="shared" si="153"/>
        <v>#NUM!</v>
      </c>
      <c r="BL165" s="51">
        <f t="shared" si="201"/>
        <v>32.392304577777473</v>
      </c>
      <c r="BM165" s="63">
        <f t="shared" si="202"/>
        <v>59.959831032883272</v>
      </c>
    </row>
    <row r="166" spans="14:65" x14ac:dyDescent="0.3">
      <c r="N166" s="11">
        <v>48</v>
      </c>
      <c r="O166" s="52">
        <f t="shared" si="154"/>
        <v>301.99517204020168</v>
      </c>
      <c r="P166" s="50" t="str">
        <f t="shared" si="155"/>
        <v>23.3035714285714</v>
      </c>
      <c r="Q166" s="18" t="str">
        <f t="shared" si="156"/>
        <v>1+1.01651337203687i</v>
      </c>
      <c r="R166" s="18">
        <f t="shared" si="167"/>
        <v>1.4259380896552865</v>
      </c>
      <c r="S166" s="18">
        <f t="shared" si="168"/>
        <v>0.79358705177621913</v>
      </c>
      <c r="T166" s="18" t="str">
        <f t="shared" si="157"/>
        <v>1+0.00189749162780217i</v>
      </c>
      <c r="U166" s="18">
        <f t="shared" si="169"/>
        <v>1.0000018002356184</v>
      </c>
      <c r="V166" s="18">
        <f t="shared" si="170"/>
        <v>1.8974893505170304E-3</v>
      </c>
      <c r="W166" s="32" t="str">
        <f t="shared" si="158"/>
        <v>1-0.00463831286796086i</v>
      </c>
      <c r="X166" s="18">
        <f t="shared" si="171"/>
        <v>1.000010756915275</v>
      </c>
      <c r="Y166" s="18">
        <f t="shared" si="172"/>
        <v>-4.6382796055856271E-3</v>
      </c>
      <c r="Z166" s="32" t="str">
        <f t="shared" si="159"/>
        <v>0.999999635195664+0.00227646814316496i</v>
      </c>
      <c r="AA166" s="18">
        <f t="shared" si="173"/>
        <v>1.0000022263468555</v>
      </c>
      <c r="AB166" s="18">
        <f t="shared" si="174"/>
        <v>2.2764650411862147E-3</v>
      </c>
      <c r="AC166" s="68" t="str">
        <f t="shared" si="175"/>
        <v>11.4024855452376-11.7076997157004i</v>
      </c>
      <c r="AD166" s="66">
        <f t="shared" si="176"/>
        <v>24.266526024237361</v>
      </c>
      <c r="AE166" s="63">
        <f t="shared" si="177"/>
        <v>-45.756656296222431</v>
      </c>
      <c r="AF166" s="51" t="e">
        <f t="shared" si="178"/>
        <v>#NUM!</v>
      </c>
      <c r="AG166" s="51" t="str">
        <f t="shared" si="160"/>
        <v>1-1.42311872085163i</v>
      </c>
      <c r="AH166" s="51">
        <f t="shared" si="179"/>
        <v>1.7393294379266913</v>
      </c>
      <c r="AI166" s="51">
        <f t="shared" si="180"/>
        <v>-0.95827258668344228</v>
      </c>
      <c r="AJ166" s="51" t="str">
        <f t="shared" si="161"/>
        <v>1+0.00189749162780217i</v>
      </c>
      <c r="AK166" s="51">
        <f t="shared" si="181"/>
        <v>1.0000018002356184</v>
      </c>
      <c r="AL166" s="51">
        <f t="shared" si="182"/>
        <v>1.8974893505170304E-3</v>
      </c>
      <c r="AM166" s="51" t="e">
        <f t="shared" si="162"/>
        <v>#NUM!</v>
      </c>
      <c r="AN166" s="51" t="e">
        <f t="shared" si="183"/>
        <v>#NUM!</v>
      </c>
      <c r="AO166" s="51" t="e">
        <f t="shared" si="184"/>
        <v>#NUM!</v>
      </c>
      <c r="AP166" s="60" t="e">
        <f t="shared" si="185"/>
        <v>#NUM!</v>
      </c>
      <c r="AQ166" s="51" t="e">
        <f t="shared" si="186"/>
        <v>#NUM!</v>
      </c>
      <c r="AR166" s="63" t="e">
        <f t="shared" si="187"/>
        <v>#NUM!</v>
      </c>
      <c r="AS166" s="32" t="str">
        <f t="shared" si="163"/>
        <v>-0.000170731707317073</v>
      </c>
      <c r="AT166" s="32" t="str">
        <f t="shared" si="164"/>
        <v>0.0000721046818564823i</v>
      </c>
      <c r="AU166" s="32">
        <f t="shared" si="188"/>
        <v>7.21046818564823E-5</v>
      </c>
      <c r="AV166" s="32">
        <f t="shared" si="189"/>
        <v>1.5707963267948966</v>
      </c>
      <c r="AW166" s="32" t="str">
        <f t="shared" si="165"/>
        <v>1+0.0153517059487236i</v>
      </c>
      <c r="AX166" s="32">
        <f t="shared" si="190"/>
        <v>1.0001178304957552</v>
      </c>
      <c r="AY166" s="32">
        <f t="shared" si="191"/>
        <v>1.535050011543353E-2</v>
      </c>
      <c r="AZ166" s="32" t="str">
        <f t="shared" si="166"/>
        <v>1+0.29168241302575i</v>
      </c>
      <c r="BA166" s="32">
        <f t="shared" si="192"/>
        <v>1.0416710757568937</v>
      </c>
      <c r="BB166" s="32">
        <f t="shared" si="193"/>
        <v>0.28380862099143511</v>
      </c>
      <c r="BC166" s="60" t="str">
        <f t="shared" si="194"/>
        <v>-0.654150272105306+2.37787341099732i</v>
      </c>
      <c r="BD166" s="51">
        <f t="shared" si="195"/>
        <v>7.840603068129683</v>
      </c>
      <c r="BE166" s="63">
        <f t="shared" si="196"/>
        <v>105.38151730220783</v>
      </c>
      <c r="BF166" s="60" t="str">
        <f t="shared" si="197"/>
        <v>20.3804888358109+34.7722621520544i</v>
      </c>
      <c r="BG166" s="66">
        <f t="shared" si="198"/>
        <v>32.107129092367046</v>
      </c>
      <c r="BH166" s="63">
        <f t="shared" si="199"/>
        <v>59.624861005985373</v>
      </c>
      <c r="BI166" s="60" t="e">
        <f t="shared" si="152"/>
        <v>#NUM!</v>
      </c>
      <c r="BJ166" s="66" t="e">
        <f t="shared" si="200"/>
        <v>#NUM!</v>
      </c>
      <c r="BK166" s="63" t="e">
        <f t="shared" si="153"/>
        <v>#NUM!</v>
      </c>
      <c r="BL166" s="51">
        <f t="shared" si="201"/>
        <v>32.107129092367046</v>
      </c>
      <c r="BM166" s="63">
        <f t="shared" si="202"/>
        <v>59.624861005985373</v>
      </c>
    </row>
    <row r="167" spans="14:65" x14ac:dyDescent="0.3">
      <c r="N167" s="11">
        <v>49</v>
      </c>
      <c r="O167" s="52">
        <f t="shared" si="154"/>
        <v>309.02954325135937</v>
      </c>
      <c r="P167" s="50" t="str">
        <f t="shared" si="155"/>
        <v>23.3035714285714</v>
      </c>
      <c r="Q167" s="18" t="str">
        <f t="shared" si="156"/>
        <v>1+1.04019101016501i</v>
      </c>
      <c r="R167" s="18">
        <f t="shared" si="167"/>
        <v>1.442912796265978</v>
      </c>
      <c r="S167" s="18">
        <f t="shared" si="168"/>
        <v>0.80509524672284749</v>
      </c>
      <c r="T167" s="18" t="str">
        <f t="shared" si="157"/>
        <v>1+0.00194168988564136i</v>
      </c>
      <c r="U167" s="18">
        <f t="shared" si="169"/>
        <v>1.0000018850780292</v>
      </c>
      <c r="V167" s="18">
        <f t="shared" si="170"/>
        <v>1.941687445486618E-3</v>
      </c>
      <c r="W167" s="32" t="str">
        <f t="shared" si="158"/>
        <v>1-0.00474635305378999i</v>
      </c>
      <c r="X167" s="18">
        <f t="shared" si="171"/>
        <v>1.0000112638702181</v>
      </c>
      <c r="Y167" s="18">
        <f t="shared" si="172"/>
        <v>-4.7463174125344718E-3</v>
      </c>
      <c r="Z167" s="32" t="str">
        <f t="shared" si="159"/>
        <v>0.999999618002966+0.00232949389805108i</v>
      </c>
      <c r="AA167" s="18">
        <f t="shared" si="173"/>
        <v>1.0000023312712321</v>
      </c>
      <c r="AB167" s="18">
        <f t="shared" si="174"/>
        <v>2.3294905742213836E-3</v>
      </c>
      <c r="AC167" s="68" t="str">
        <f t="shared" si="175"/>
        <v>11.1330899586522-11.7001842037453i</v>
      </c>
      <c r="AD167" s="66">
        <f t="shared" si="176"/>
        <v>24.163741955796908</v>
      </c>
      <c r="AE167" s="63">
        <f t="shared" si="177"/>
        <v>-46.422723181789038</v>
      </c>
      <c r="AF167" s="51" t="e">
        <f t="shared" si="178"/>
        <v>#NUM!</v>
      </c>
      <c r="AG167" s="51" t="str">
        <f t="shared" si="160"/>
        <v>1-1.45626741423102i</v>
      </c>
      <c r="AH167" s="51">
        <f t="shared" si="179"/>
        <v>1.7665544944187546</v>
      </c>
      <c r="AI167" s="51">
        <f t="shared" si="180"/>
        <v>-0.96906120808704388</v>
      </c>
      <c r="AJ167" s="51" t="str">
        <f t="shared" si="161"/>
        <v>1+0.00194168988564136i</v>
      </c>
      <c r="AK167" s="51">
        <f t="shared" si="181"/>
        <v>1.0000018850780292</v>
      </c>
      <c r="AL167" s="51">
        <f t="shared" si="182"/>
        <v>1.941687445486618E-3</v>
      </c>
      <c r="AM167" s="51" t="e">
        <f t="shared" si="162"/>
        <v>#NUM!</v>
      </c>
      <c r="AN167" s="51" t="e">
        <f t="shared" si="183"/>
        <v>#NUM!</v>
      </c>
      <c r="AO167" s="51" t="e">
        <f t="shared" si="184"/>
        <v>#NUM!</v>
      </c>
      <c r="AP167" s="60" t="e">
        <f t="shared" si="185"/>
        <v>#NUM!</v>
      </c>
      <c r="AQ167" s="51" t="e">
        <f t="shared" si="186"/>
        <v>#NUM!</v>
      </c>
      <c r="AR167" s="63" t="e">
        <f t="shared" si="187"/>
        <v>#NUM!</v>
      </c>
      <c r="AS167" s="32" t="str">
        <f t="shared" si="163"/>
        <v>-0.000170731707317073</v>
      </c>
      <c r="AT167" s="32" t="str">
        <f t="shared" si="164"/>
        <v>0.0000737842156543717i</v>
      </c>
      <c r="AU167" s="32">
        <f t="shared" si="188"/>
        <v>7.3784215654371704E-5</v>
      </c>
      <c r="AV167" s="32">
        <f t="shared" si="189"/>
        <v>1.5707963267948966</v>
      </c>
      <c r="AW167" s="32" t="str">
        <f t="shared" si="165"/>
        <v>1+0.0157092931168837i</v>
      </c>
      <c r="AX167" s="32">
        <f t="shared" si="190"/>
        <v>1.0001233833333925</v>
      </c>
      <c r="AY167" s="32">
        <f t="shared" si="191"/>
        <v>1.570800105184339E-2</v>
      </c>
      <c r="AZ167" s="32" t="str">
        <f t="shared" si="166"/>
        <v>1+0.29847656922079i</v>
      </c>
      <c r="BA167" s="32">
        <f t="shared" si="192"/>
        <v>1.0435939164128032</v>
      </c>
      <c r="BB167" s="32">
        <f t="shared" si="193"/>
        <v>0.29005856620482529</v>
      </c>
      <c r="BC167" s="60" t="str">
        <f t="shared" si="194"/>
        <v>-0.654143008241209+2.3242087967519i</v>
      </c>
      <c r="BD167" s="51">
        <f t="shared" si="195"/>
        <v>7.6565735131640356</v>
      </c>
      <c r="BE167" s="63">
        <f t="shared" si="196"/>
        <v>105.71912949029475</v>
      </c>
      <c r="BF167" s="60" t="str">
        <f t="shared" si="197"/>
        <v>19.9110380933897+33.5292193089439i</v>
      </c>
      <c r="BG167" s="66">
        <f t="shared" si="198"/>
        <v>31.820315468960942</v>
      </c>
      <c r="BH167" s="63">
        <f t="shared" si="199"/>
        <v>59.296406308505716</v>
      </c>
      <c r="BI167" s="60" t="e">
        <f t="shared" si="152"/>
        <v>#NUM!</v>
      </c>
      <c r="BJ167" s="66" t="e">
        <f t="shared" si="200"/>
        <v>#NUM!</v>
      </c>
      <c r="BK167" s="63" t="e">
        <f t="shared" si="153"/>
        <v>#NUM!</v>
      </c>
      <c r="BL167" s="51">
        <f t="shared" si="201"/>
        <v>31.820315468960942</v>
      </c>
      <c r="BM167" s="63">
        <f t="shared" si="202"/>
        <v>59.296406308505716</v>
      </c>
    </row>
    <row r="168" spans="14:65" x14ac:dyDescent="0.3">
      <c r="N168" s="11">
        <v>50</v>
      </c>
      <c r="O168" s="52">
        <f t="shared" si="154"/>
        <v>316.22776601683825</v>
      </c>
      <c r="P168" s="50" t="str">
        <f t="shared" si="155"/>
        <v>23.3035714285714</v>
      </c>
      <c r="Q168" s="18" t="str">
        <f t="shared" si="156"/>
        <v>1+1.06442017133529i</v>
      </c>
      <c r="R168" s="18">
        <f t="shared" si="167"/>
        <v>1.4604760529174889</v>
      </c>
      <c r="S168" s="18">
        <f t="shared" si="168"/>
        <v>0.81659301157762454</v>
      </c>
      <c r="T168" s="18" t="str">
        <f t="shared" si="157"/>
        <v>1+0.00198691765315922i</v>
      </c>
      <c r="U168" s="18">
        <f t="shared" si="169"/>
        <v>1.0000019739189321</v>
      </c>
      <c r="V168" s="18">
        <f t="shared" si="170"/>
        <v>1.9869150384865847E-3</v>
      </c>
      <c r="W168" s="32" t="str">
        <f t="shared" si="158"/>
        <v>1-0.00485690981883365i</v>
      </c>
      <c r="X168" s="18">
        <f t="shared" si="171"/>
        <v>1.0000117947169365</v>
      </c>
      <c r="Y168" s="18">
        <f t="shared" si="172"/>
        <v>-4.856871628564627E-3</v>
      </c>
      <c r="Z168" s="32" t="str">
        <f t="shared" si="159"/>
        <v>0.9999996+0.00238375478143644i</v>
      </c>
      <c r="AA168" s="18">
        <f t="shared" si="173"/>
        <v>1.0000024411405295</v>
      </c>
      <c r="AB168" s="18">
        <f t="shared" si="174"/>
        <v>2.3837512198892205E-3</v>
      </c>
      <c r="AC168" s="68" t="str">
        <f t="shared" si="175"/>
        <v>10.8641824459434-11.686485919356i</v>
      </c>
      <c r="AD168" s="66">
        <f t="shared" si="176"/>
        <v>24.058659275272714</v>
      </c>
      <c r="AE168" s="63">
        <f t="shared" si="177"/>
        <v>-47.088348427581494</v>
      </c>
      <c r="AF168" s="51" t="e">
        <f t="shared" si="178"/>
        <v>#NUM!</v>
      </c>
      <c r="AG168" s="51" t="str">
        <f t="shared" si="160"/>
        <v>1-1.49018823986942i</v>
      </c>
      <c r="AH168" s="51">
        <f t="shared" si="179"/>
        <v>1.7946200127729324</v>
      </c>
      <c r="AI168" s="51">
        <f t="shared" si="180"/>
        <v>-0.97976099566489272</v>
      </c>
      <c r="AJ168" s="51" t="str">
        <f t="shared" si="161"/>
        <v>1+0.00198691765315922i</v>
      </c>
      <c r="AK168" s="51">
        <f t="shared" si="181"/>
        <v>1.0000019739189321</v>
      </c>
      <c r="AL168" s="51">
        <f t="shared" si="182"/>
        <v>1.9869150384865847E-3</v>
      </c>
      <c r="AM168" s="51" t="e">
        <f t="shared" si="162"/>
        <v>#NUM!</v>
      </c>
      <c r="AN168" s="51" t="e">
        <f t="shared" si="183"/>
        <v>#NUM!</v>
      </c>
      <c r="AO168" s="51" t="e">
        <f t="shared" si="184"/>
        <v>#NUM!</v>
      </c>
      <c r="AP168" s="60" t="e">
        <f t="shared" si="185"/>
        <v>#NUM!</v>
      </c>
      <c r="AQ168" s="51" t="e">
        <f t="shared" si="186"/>
        <v>#NUM!</v>
      </c>
      <c r="AR168" s="63" t="e">
        <f t="shared" si="187"/>
        <v>#NUM!</v>
      </c>
      <c r="AS168" s="32" t="str">
        <f t="shared" si="163"/>
        <v>-0.000170731707317073</v>
      </c>
      <c r="AT168" s="32" t="str">
        <f t="shared" si="164"/>
        <v>0.0000755028708200504i</v>
      </c>
      <c r="AU168" s="32">
        <f t="shared" si="188"/>
        <v>7.5502870820050397E-5</v>
      </c>
      <c r="AV168" s="32">
        <f t="shared" si="189"/>
        <v>1.5707963267948966</v>
      </c>
      <c r="AW168" s="32" t="str">
        <f t="shared" si="165"/>
        <v>1+0.0160752095601913i</v>
      </c>
      <c r="AX168" s="32">
        <f t="shared" si="190"/>
        <v>1.0001291978351616</v>
      </c>
      <c r="AY168" s="32">
        <f t="shared" si="191"/>
        <v>1.6073825097216173E-2</v>
      </c>
      <c r="AZ168" s="32" t="str">
        <f t="shared" si="166"/>
        <v>1+0.305428981643635i</v>
      </c>
      <c r="BA168" s="32">
        <f t="shared" si="192"/>
        <v>1.0456035878036514</v>
      </c>
      <c r="BB168" s="32">
        <f t="shared" si="193"/>
        <v>0.29643003942123936</v>
      </c>
      <c r="BC168" s="60" t="str">
        <f t="shared" si="194"/>
        <v>-0.654135402214645+2.27177649801927i</v>
      </c>
      <c r="BD168" s="51">
        <f t="shared" si="195"/>
        <v>7.4732335363346092</v>
      </c>
      <c r="BE168" s="63">
        <f t="shared" si="196"/>
        <v>106.06322784103175</v>
      </c>
      <c r="BF168" s="60" t="str">
        <f t="shared" si="197"/>
        <v>19.4424377020156+32.3255385182214i</v>
      </c>
      <c r="BG168" s="66">
        <f t="shared" si="198"/>
        <v>31.531892811607314</v>
      </c>
      <c r="BH168" s="63">
        <f t="shared" si="199"/>
        <v>58.974879413450239</v>
      </c>
      <c r="BI168" s="60" t="e">
        <f t="shared" si="152"/>
        <v>#NUM!</v>
      </c>
      <c r="BJ168" s="66" t="e">
        <f t="shared" si="200"/>
        <v>#NUM!</v>
      </c>
      <c r="BK168" s="63" t="e">
        <f t="shared" si="153"/>
        <v>#NUM!</v>
      </c>
      <c r="BL168" s="51">
        <f t="shared" si="201"/>
        <v>31.531892811607314</v>
      </c>
      <c r="BM168" s="63">
        <f t="shared" si="202"/>
        <v>58.974879413450239</v>
      </c>
    </row>
    <row r="169" spans="14:65" x14ac:dyDescent="0.3">
      <c r="N169" s="11">
        <v>51</v>
      </c>
      <c r="O169" s="52">
        <f t="shared" si="154"/>
        <v>323.59365692962825</v>
      </c>
      <c r="P169" s="50" t="str">
        <f t="shared" si="155"/>
        <v>23.3035714285714</v>
      </c>
      <c r="Q169" s="18" t="str">
        <f t="shared" si="156"/>
        <v>1+1.08921370216969i</v>
      </c>
      <c r="R169" s="18">
        <f t="shared" si="167"/>
        <v>1.4786434624324425</v>
      </c>
      <c r="S169" s="18">
        <f t="shared" si="168"/>
        <v>0.82807428375372216</v>
      </c>
      <c r="T169" s="18" t="str">
        <f t="shared" si="157"/>
        <v>1+0.00203319891071675i</v>
      </c>
      <c r="U169" s="18">
        <f t="shared" si="169"/>
        <v>1.0000020669467691</v>
      </c>
      <c r="V169" s="18">
        <f t="shared" si="170"/>
        <v>2.033196109044857E-3</v>
      </c>
      <c r="W169" s="32" t="str">
        <f t="shared" si="158"/>
        <v>1-0.00497004178175206i</v>
      </c>
      <c r="X169" s="18">
        <f t="shared" si="171"/>
        <v>1.0000123505813878</v>
      </c>
      <c r="Y169" s="18">
        <f t="shared" si="172"/>
        <v>-4.9700008601688264E-3</v>
      </c>
      <c r="Z169" s="32" t="str">
        <f t="shared" si="159"/>
        <v>0.999999581148581+0.00243927956315965i</v>
      </c>
      <c r="AA169" s="18">
        <f t="shared" si="173"/>
        <v>1.0000025561877954</v>
      </c>
      <c r="AB169" s="18">
        <f t="shared" si="174"/>
        <v>2.4392757468935699E-3</v>
      </c>
      <c r="AC169" s="68" t="str">
        <f t="shared" si="175"/>
        <v>10.596045801444-11.6666410341579i</v>
      </c>
      <c r="AD169" s="66">
        <f t="shared" si="176"/>
        <v>23.951283369759089</v>
      </c>
      <c r="AE169" s="63">
        <f t="shared" si="177"/>
        <v>-47.753188305265667</v>
      </c>
      <c r="AF169" s="51" t="e">
        <f t="shared" si="178"/>
        <v>#NUM!</v>
      </c>
      <c r="AG169" s="51" t="str">
        <f t="shared" si="160"/>
        <v>1-1.52489918303757i</v>
      </c>
      <c r="AH169" s="51">
        <f t="shared" si="179"/>
        <v>1.8235453157047257</v>
      </c>
      <c r="AI169" s="51">
        <f t="shared" si="180"/>
        <v>-0.99036782280686342</v>
      </c>
      <c r="AJ169" s="51" t="str">
        <f t="shared" si="161"/>
        <v>1+0.00203319891071675i</v>
      </c>
      <c r="AK169" s="51">
        <f t="shared" si="181"/>
        <v>1.0000020669467691</v>
      </c>
      <c r="AL169" s="51">
        <f t="shared" si="182"/>
        <v>2.033196109044857E-3</v>
      </c>
      <c r="AM169" s="51" t="e">
        <f t="shared" si="162"/>
        <v>#NUM!</v>
      </c>
      <c r="AN169" s="51" t="e">
        <f t="shared" si="183"/>
        <v>#NUM!</v>
      </c>
      <c r="AO169" s="51" t="e">
        <f t="shared" si="184"/>
        <v>#NUM!</v>
      </c>
      <c r="AP169" s="60" t="e">
        <f t="shared" si="185"/>
        <v>#NUM!</v>
      </c>
      <c r="AQ169" s="51" t="e">
        <f t="shared" si="186"/>
        <v>#NUM!</v>
      </c>
      <c r="AR169" s="63" t="e">
        <f t="shared" si="187"/>
        <v>#NUM!</v>
      </c>
      <c r="AS169" s="32" t="str">
        <f t="shared" si="163"/>
        <v>-0.000170731707317073</v>
      </c>
      <c r="AT169" s="32" t="str">
        <f t="shared" si="164"/>
        <v>0.0000772615586072366i</v>
      </c>
      <c r="AU169" s="32">
        <f t="shared" si="188"/>
        <v>7.7261558607236603E-5</v>
      </c>
      <c r="AV169" s="32">
        <f t="shared" si="189"/>
        <v>1.5707963267948966</v>
      </c>
      <c r="AW169" s="32" t="str">
        <f t="shared" si="165"/>
        <v>1+0.0164496492923883i</v>
      </c>
      <c r="AX169" s="32">
        <f t="shared" si="190"/>
        <v>1.0001352863297257</v>
      </c>
      <c r="AY169" s="32">
        <f t="shared" si="191"/>
        <v>1.6448165824420668E-2</v>
      </c>
      <c r="AZ169" s="32" t="str">
        <f t="shared" si="166"/>
        <v>1+0.312543336555379i</v>
      </c>
      <c r="BA169" s="32">
        <f t="shared" si="192"/>
        <v>1.0477038404173047</v>
      </c>
      <c r="BB169" s="32">
        <f t="shared" si="193"/>
        <v>0.30292434887780184</v>
      </c>
      <c r="BC169" s="60" t="str">
        <f t="shared" si="194"/>
        <v>-0.654127437916669+2.22054871373182i</v>
      </c>
      <c r="BD169" s="51">
        <f t="shared" si="195"/>
        <v>7.2906100806325664</v>
      </c>
      <c r="BE169" s="63">
        <f t="shared" si="196"/>
        <v>106.41387621997592</v>
      </c>
      <c r="BF169" s="60" t="str">
        <f t="shared" si="197"/>
        <v>18.975180449824+31.1605058838071i</v>
      </c>
      <c r="BG169" s="66">
        <f t="shared" si="198"/>
        <v>31.241893450391665</v>
      </c>
      <c r="BH169" s="63">
        <f t="shared" si="199"/>
        <v>58.660687914710195</v>
      </c>
      <c r="BI169" s="60" t="e">
        <f t="shared" si="152"/>
        <v>#NUM!</v>
      </c>
      <c r="BJ169" s="66" t="e">
        <f t="shared" si="200"/>
        <v>#NUM!</v>
      </c>
      <c r="BK169" s="63" t="e">
        <f t="shared" si="153"/>
        <v>#NUM!</v>
      </c>
      <c r="BL169" s="51">
        <f t="shared" si="201"/>
        <v>31.241893450391665</v>
      </c>
      <c r="BM169" s="63">
        <f t="shared" si="202"/>
        <v>58.660687914710195</v>
      </c>
    </row>
    <row r="170" spans="14:65" x14ac:dyDescent="0.3">
      <c r="N170" s="11">
        <v>52</v>
      </c>
      <c r="O170" s="52">
        <f t="shared" si="154"/>
        <v>331.13112148259137</v>
      </c>
      <c r="P170" s="50" t="str">
        <f t="shared" si="155"/>
        <v>23.3035714285714</v>
      </c>
      <c r="Q170" s="18" t="str">
        <f t="shared" si="156"/>
        <v>1+1.11458474852642i</v>
      </c>
      <c r="R170" s="18">
        <f t="shared" si="167"/>
        <v>1.4974308537116841</v>
      </c>
      <c r="S170" s="18">
        <f t="shared" si="168"/>
        <v>0.83953304414459662</v>
      </c>
      <c r="T170" s="18" t="str">
        <f t="shared" si="157"/>
        <v>1+0.00208055819724932i</v>
      </c>
      <c r="U170" s="18">
        <f t="shared" si="169"/>
        <v>1.0000021643588639</v>
      </c>
      <c r="V170" s="18">
        <f t="shared" si="170"/>
        <v>2.080555195204151E-3</v>
      </c>
      <c r="W170" s="32" t="str">
        <f t="shared" si="158"/>
        <v>1-0.00508580892660945i</v>
      </c>
      <c r="X170" s="18">
        <f t="shared" si="171"/>
        <v>1.0000129326425924</v>
      </c>
      <c r="Y170" s="18">
        <f t="shared" si="172"/>
        <v>-5.0857650783736399E-3</v>
      </c>
      <c r="Z170" s="32" t="str">
        <f t="shared" si="159"/>
        <v>0.999999561408722+0.00249609768319494i</v>
      </c>
      <c r="AA170" s="18">
        <f t="shared" si="173"/>
        <v>1.000002676657058</v>
      </c>
      <c r="AB170" s="18">
        <f t="shared" si="174"/>
        <v>2.4960935939927474E-3</v>
      </c>
      <c r="AC170" s="68" t="str">
        <f t="shared" si="175"/>
        <v>10.3289595726005-11.6407017719294i</v>
      </c>
      <c r="AD170" s="66">
        <f t="shared" si="176"/>
        <v>23.841622028883481</v>
      </c>
      <c r="AE170" s="63">
        <f t="shared" si="177"/>
        <v>-48.416901662317947</v>
      </c>
      <c r="AF170" s="51" t="e">
        <f t="shared" si="178"/>
        <v>#NUM!</v>
      </c>
      <c r="AG170" s="51" t="str">
        <f t="shared" si="160"/>
        <v>1-1.56041864793699i</v>
      </c>
      <c r="AH170" s="51">
        <f t="shared" si="179"/>
        <v>1.8533500362396476</v>
      </c>
      <c r="AI170" s="51">
        <f t="shared" si="180"/>
        <v>-1.0008777667300814</v>
      </c>
      <c r="AJ170" s="51" t="str">
        <f t="shared" si="161"/>
        <v>1+0.00208055819724932i</v>
      </c>
      <c r="AK170" s="51">
        <f t="shared" si="181"/>
        <v>1.0000021643588639</v>
      </c>
      <c r="AL170" s="51">
        <f t="shared" si="182"/>
        <v>2.080555195204151E-3</v>
      </c>
      <c r="AM170" s="51" t="e">
        <f t="shared" si="162"/>
        <v>#NUM!</v>
      </c>
      <c r="AN170" s="51" t="e">
        <f t="shared" si="183"/>
        <v>#NUM!</v>
      </c>
      <c r="AO170" s="51" t="e">
        <f t="shared" si="184"/>
        <v>#NUM!</v>
      </c>
      <c r="AP170" s="60" t="e">
        <f t="shared" si="185"/>
        <v>#NUM!</v>
      </c>
      <c r="AQ170" s="51" t="e">
        <f t="shared" si="186"/>
        <v>#NUM!</v>
      </c>
      <c r="AR170" s="63" t="e">
        <f t="shared" si="187"/>
        <v>#NUM!</v>
      </c>
      <c r="AS170" s="32" t="str">
        <f t="shared" si="163"/>
        <v>-0.000170731707317073</v>
      </c>
      <c r="AT170" s="32" t="str">
        <f t="shared" si="164"/>
        <v>0.000079061211495474i</v>
      </c>
      <c r="AU170" s="32">
        <f t="shared" si="188"/>
        <v>7.9061211495474001E-5</v>
      </c>
      <c r="AV170" s="32">
        <f t="shared" si="189"/>
        <v>1.5707963267948966</v>
      </c>
      <c r="AW170" s="32" t="str">
        <f t="shared" si="165"/>
        <v>1+0.0168328108463771i</v>
      </c>
      <c r="AX170" s="32">
        <f t="shared" si="190"/>
        <v>1.0001416617264727</v>
      </c>
      <c r="AY170" s="32">
        <f t="shared" si="191"/>
        <v>1.6831221293970852E-2</v>
      </c>
      <c r="AZ170" s="32" t="str">
        <f t="shared" si="166"/>
        <v>1+0.319823406081166i</v>
      </c>
      <c r="BA170" s="32">
        <f t="shared" si="192"/>
        <v>1.0498985718046092</v>
      </c>
      <c r="BB170" s="32">
        <f t="shared" si="193"/>
        <v>0.30954274591205289</v>
      </c>
      <c r="BC170" s="60" t="str">
        <f t="shared" si="194"/>
        <v>-0.654119098480756+2.17049828141643i</v>
      </c>
      <c r="BD170" s="51">
        <f t="shared" si="195"/>
        <v>7.1087308942763352</v>
      </c>
      <c r="BE170" s="63">
        <f t="shared" si="196"/>
        <v>106.77113497545582</v>
      </c>
      <c r="BF170" s="60" t="str">
        <f t="shared" si="197"/>
        <v>18.5097534665803+30.033394349887i</v>
      </c>
      <c r="BG170" s="66">
        <f t="shared" si="198"/>
        <v>30.950352923159819</v>
      </c>
      <c r="BH170" s="63">
        <f t="shared" si="199"/>
        <v>58.354233313137968</v>
      </c>
      <c r="BI170" s="60" t="e">
        <f t="shared" si="152"/>
        <v>#NUM!</v>
      </c>
      <c r="BJ170" s="66" t="e">
        <f t="shared" si="200"/>
        <v>#NUM!</v>
      </c>
      <c r="BK170" s="63" t="e">
        <f t="shared" si="153"/>
        <v>#NUM!</v>
      </c>
      <c r="BL170" s="51">
        <f t="shared" si="201"/>
        <v>30.950352923159819</v>
      </c>
      <c r="BM170" s="63">
        <f t="shared" si="202"/>
        <v>58.354233313137968</v>
      </c>
    </row>
    <row r="171" spans="14:65" x14ac:dyDescent="0.3">
      <c r="N171" s="11">
        <v>53</v>
      </c>
      <c r="O171" s="52">
        <f t="shared" si="154"/>
        <v>338.84415613920277</v>
      </c>
      <c r="P171" s="50" t="str">
        <f t="shared" si="155"/>
        <v>23.3035714285714</v>
      </c>
      <c r="Q171" s="18" t="str">
        <f t="shared" si="156"/>
        <v>1+1.14054676247009i</v>
      </c>
      <c r="R171" s="18">
        <f t="shared" si="167"/>
        <v>1.5168542835028698</v>
      </c>
      <c r="S171" s="18">
        <f t="shared" si="168"/>
        <v>0.85096333275090952</v>
      </c>
      <c r="T171" s="18" t="str">
        <f t="shared" si="157"/>
        <v>1+0.0021290206232775i</v>
      </c>
      <c r="U171" s="18">
        <f t="shared" si="169"/>
        <v>1.0000022663618389</v>
      </c>
      <c r="V171" s="18">
        <f t="shared" si="170"/>
        <v>2.12901740652854E-3</v>
      </c>
      <c r="W171" s="32" t="str">
        <f t="shared" si="158"/>
        <v>1-0.00520427263467833i</v>
      </c>
      <c r="X171" s="18">
        <f t="shared" si="171"/>
        <v>1.0000135421351333</v>
      </c>
      <c r="Y171" s="18">
        <f t="shared" si="172"/>
        <v>-5.2042256504815235E-3</v>
      </c>
      <c r="Z171" s="32" t="str">
        <f t="shared" si="159"/>
        <v>0.999999540738551+0.0025542392672616i</v>
      </c>
      <c r="AA171" s="18">
        <f t="shared" si="173"/>
        <v>1.0000028028038457</v>
      </c>
      <c r="AB171" s="18">
        <f t="shared" si="174"/>
        <v>2.5542348856031683E-3</v>
      </c>
      <c r="AC171" s="68" t="str">
        <f t="shared" si="175"/>
        <v>10.0631989050475-11.6087360745799i</v>
      </c>
      <c r="AD171" s="66">
        <f t="shared" si="176"/>
        <v>23.729685412142118</v>
      </c>
      <c r="AE171" s="63">
        <f t="shared" si="177"/>
        <v>-49.079150819346374</v>
      </c>
      <c r="AF171" s="51" t="e">
        <f t="shared" si="178"/>
        <v>#NUM!</v>
      </c>
      <c r="AG171" s="51" t="str">
        <f t="shared" si="160"/>
        <v>1-1.59676546745813i</v>
      </c>
      <c r="AH171" s="51">
        <f t="shared" si="179"/>
        <v>1.8840541282210499</v>
      </c>
      <c r="AI171" s="51">
        <f t="shared" si="180"/>
        <v>-1.0112871124046625</v>
      </c>
      <c r="AJ171" s="51" t="str">
        <f t="shared" si="161"/>
        <v>1+0.0021290206232775i</v>
      </c>
      <c r="AK171" s="51">
        <f t="shared" si="181"/>
        <v>1.0000022663618389</v>
      </c>
      <c r="AL171" s="51">
        <f t="shared" si="182"/>
        <v>2.12901740652854E-3</v>
      </c>
      <c r="AM171" s="51" t="e">
        <f t="shared" si="162"/>
        <v>#NUM!</v>
      </c>
      <c r="AN171" s="51" t="e">
        <f t="shared" si="183"/>
        <v>#NUM!</v>
      </c>
      <c r="AO171" s="51" t="e">
        <f t="shared" si="184"/>
        <v>#NUM!</v>
      </c>
      <c r="AP171" s="60" t="e">
        <f t="shared" si="185"/>
        <v>#NUM!</v>
      </c>
      <c r="AQ171" s="51" t="e">
        <f t="shared" si="186"/>
        <v>#NUM!</v>
      </c>
      <c r="AR171" s="63" t="e">
        <f t="shared" si="187"/>
        <v>#NUM!</v>
      </c>
      <c r="AS171" s="32" t="str">
        <f t="shared" si="163"/>
        <v>-0.000170731707317073</v>
      </c>
      <c r="AT171" s="32" t="str">
        <f t="shared" si="164"/>
        <v>0.0000809027836845452i</v>
      </c>
      <c r="AU171" s="32">
        <f t="shared" si="188"/>
        <v>8.0902783684545202E-5</v>
      </c>
      <c r="AV171" s="32">
        <f t="shared" si="189"/>
        <v>1.5707963267948966</v>
      </c>
      <c r="AW171" s="32" t="str">
        <f t="shared" si="165"/>
        <v>1+0.0172248973794851i</v>
      </c>
      <c r="AX171" s="32">
        <f t="shared" si="190"/>
        <v>1.0001483375428535</v>
      </c>
      <c r="AY171" s="32">
        <f t="shared" si="191"/>
        <v>1.7223194157038352E-2</v>
      </c>
      <c r="AZ171" s="32" t="str">
        <f t="shared" si="166"/>
        <v>1+0.327273050210217i</v>
      </c>
      <c r="BA171" s="32">
        <f t="shared" si="192"/>
        <v>1.052191831081148</v>
      </c>
      <c r="BB171" s="32">
        <f t="shared" si="193"/>
        <v>0.31628641960693299</v>
      </c>
      <c r="BC171" s="60" t="str">
        <f t="shared" si="194"/>
        <v>-0.654110366247231+2.12159866278875i</v>
      </c>
      <c r="BD171" s="51">
        <f t="shared" si="195"/>
        <v>6.9276245331200421</v>
      </c>
      <c r="BE171" s="63">
        <f t="shared" si="196"/>
        <v>107.13506062584847</v>
      </c>
      <c r="BF171" s="60" t="str">
        <f t="shared" si="197"/>
        <v>18.0466362110969+28.9434639457369i</v>
      </c>
      <c r="BG171" s="66">
        <f t="shared" si="198"/>
        <v>30.657309945262167</v>
      </c>
      <c r="BH171" s="63">
        <f t="shared" si="199"/>
        <v>58.055909806502086</v>
      </c>
      <c r="BI171" s="60" t="e">
        <f t="shared" si="152"/>
        <v>#NUM!</v>
      </c>
      <c r="BJ171" s="66" t="e">
        <f t="shared" si="200"/>
        <v>#NUM!</v>
      </c>
      <c r="BK171" s="63" t="e">
        <f t="shared" si="153"/>
        <v>#NUM!</v>
      </c>
      <c r="BL171" s="51">
        <f t="shared" si="201"/>
        <v>30.657309945262167</v>
      </c>
      <c r="BM171" s="63">
        <f t="shared" si="202"/>
        <v>58.055909806502086</v>
      </c>
    </row>
    <row r="172" spans="14:65" x14ac:dyDescent="0.3">
      <c r="N172" s="11">
        <v>54</v>
      </c>
      <c r="O172" s="52">
        <f t="shared" si="154"/>
        <v>346.73685045253183</v>
      </c>
      <c r="P172" s="50" t="str">
        <f t="shared" si="155"/>
        <v>23.3035714285714</v>
      </c>
      <c r="Q172" s="18" t="str">
        <f t="shared" si="156"/>
        <v>1+1.16711350940414i</v>
      </c>
      <c r="R172" s="18">
        <f t="shared" si="167"/>
        <v>1.5369300386919529</v>
      </c>
      <c r="S172" s="18">
        <f t="shared" si="168"/>
        <v>0.86235926393066276</v>
      </c>
      <c r="T172" s="18" t="str">
        <f t="shared" si="157"/>
        <v>1+0.00217861188422107i</v>
      </c>
      <c r="U172" s="18">
        <f t="shared" si="169"/>
        <v>1.0000023731720551</v>
      </c>
      <c r="V172" s="18">
        <f t="shared" si="170"/>
        <v>2.1786084374129009E-3</v>
      </c>
      <c r="W172" s="32" t="str">
        <f t="shared" si="158"/>
        <v>1-0.00532549571698484i</v>
      </c>
      <c r="X172" s="18">
        <f t="shared" si="171"/>
        <v>1.0000141803517746</v>
      </c>
      <c r="Y172" s="18">
        <f t="shared" si="172"/>
        <v>-5.3254453725494772E-3</v>
      </c>
      <c r="Z172" s="32" t="str">
        <f t="shared" si="159"/>
        <v>0.999999519094226+0.00261373514279712i</v>
      </c>
      <c r="AA172" s="18">
        <f t="shared" si="173"/>
        <v>1.0000029348957333</v>
      </c>
      <c r="AB172" s="18">
        <f t="shared" si="174"/>
        <v>2.6137304477662597E-3</v>
      </c>
      <c r="AC172" s="68" t="str">
        <f t="shared" si="175"/>
        <v>9.79903342667962-11.5708271705868i</v>
      </c>
      <c r="AD172" s="66">
        <f t="shared" si="176"/>
        <v>23.615486006533125</v>
      </c>
      <c r="AE172" s="63">
        <f t="shared" si="177"/>
        <v>-49.739602445876351</v>
      </c>
      <c r="AF172" s="51" t="e">
        <f t="shared" si="178"/>
        <v>#NUM!</v>
      </c>
      <c r="AG172" s="51" t="str">
        <f t="shared" si="160"/>
        <v>1-1.63395891316581i</v>
      </c>
      <c r="AH172" s="51">
        <f t="shared" si="179"/>
        <v>1.915677877388053</v>
      </c>
      <c r="AI172" s="51">
        <f t="shared" si="180"/>
        <v>-1.0215923555159732</v>
      </c>
      <c r="AJ172" s="51" t="str">
        <f t="shared" si="161"/>
        <v>1+0.00217861188422107i</v>
      </c>
      <c r="AK172" s="51">
        <f t="shared" si="181"/>
        <v>1.0000023731720551</v>
      </c>
      <c r="AL172" s="51">
        <f t="shared" si="182"/>
        <v>2.1786084374129009E-3</v>
      </c>
      <c r="AM172" s="51" t="e">
        <f t="shared" si="162"/>
        <v>#NUM!</v>
      </c>
      <c r="AN172" s="51" t="e">
        <f t="shared" si="183"/>
        <v>#NUM!</v>
      </c>
      <c r="AO172" s="51" t="e">
        <f t="shared" si="184"/>
        <v>#NUM!</v>
      </c>
      <c r="AP172" s="60" t="e">
        <f t="shared" si="185"/>
        <v>#NUM!</v>
      </c>
      <c r="AQ172" s="51" t="e">
        <f t="shared" si="186"/>
        <v>#NUM!</v>
      </c>
      <c r="AR172" s="63" t="e">
        <f t="shared" si="187"/>
        <v>#NUM!</v>
      </c>
      <c r="AS172" s="32" t="str">
        <f t="shared" si="163"/>
        <v>-0.000170731707317073</v>
      </c>
      <c r="AT172" s="32" t="str">
        <f t="shared" si="164"/>
        <v>0.0000827872516004008i</v>
      </c>
      <c r="AU172" s="32">
        <f t="shared" si="188"/>
        <v>8.2787251600400797E-5</v>
      </c>
      <c r="AV172" s="32">
        <f t="shared" si="189"/>
        <v>1.5707963267948966</v>
      </c>
      <c r="AW172" s="32" t="str">
        <f t="shared" si="165"/>
        <v>1+0.0176261167811822i</v>
      </c>
      <c r="AX172" s="32">
        <f t="shared" si="190"/>
        <v>1.0001553279330087</v>
      </c>
      <c r="AY172" s="32">
        <f t="shared" si="191"/>
        <v>1.7624291760757058E-2</v>
      </c>
      <c r="AZ172" s="32" t="str">
        <f t="shared" si="166"/>
        <v>1+0.334896218842463i</v>
      </c>
      <c r="BA172" s="32">
        <f t="shared" si="192"/>
        <v>1.0545878234623132</v>
      </c>
      <c r="BB172" s="32">
        <f t="shared" si="193"/>
        <v>0.32315649123257928</v>
      </c>
      <c r="BC172" s="60" t="str">
        <f t="shared" si="194"/>
        <v>-0.654101222726105+2.07382392967804i</v>
      </c>
      <c r="BD172" s="51">
        <f t="shared" si="195"/>
        <v>6.7473203608881347</v>
      </c>
      <c r="BE172" s="63">
        <f t="shared" si="196"/>
        <v>107.5057055350846</v>
      </c>
      <c r="BF172" s="60" t="str">
        <f t="shared" si="197"/>
        <v>17.5862985266066+27.8899622081965i</v>
      </c>
      <c r="BG172" s="66">
        <f t="shared" si="198"/>
        <v>30.362806367421264</v>
      </c>
      <c r="BH172" s="63">
        <f t="shared" si="199"/>
        <v>57.766103089208343</v>
      </c>
      <c r="BI172" s="60" t="e">
        <f t="shared" si="152"/>
        <v>#NUM!</v>
      </c>
      <c r="BJ172" s="66" t="e">
        <f t="shared" si="200"/>
        <v>#NUM!</v>
      </c>
      <c r="BK172" s="63" t="e">
        <f t="shared" si="153"/>
        <v>#NUM!</v>
      </c>
      <c r="BL172" s="51">
        <f t="shared" si="201"/>
        <v>30.362806367421264</v>
      </c>
      <c r="BM172" s="63">
        <f t="shared" si="202"/>
        <v>57.766103089208343</v>
      </c>
    </row>
    <row r="173" spans="14:65" x14ac:dyDescent="0.3">
      <c r="N173" s="11">
        <v>55</v>
      </c>
      <c r="O173" s="52">
        <f t="shared" si="154"/>
        <v>354.81338923357566</v>
      </c>
      <c r="P173" s="50" t="str">
        <f t="shared" si="155"/>
        <v>23.3035714285714</v>
      </c>
      <c r="Q173" s="18" t="str">
        <f t="shared" si="156"/>
        <v>1+1.19429907536946i</v>
      </c>
      <c r="R173" s="18">
        <f t="shared" si="167"/>
        <v>1.5576746391427021</v>
      </c>
      <c r="S173" s="18">
        <f t="shared" si="168"/>
        <v>0.87371504117911336</v>
      </c>
      <c r="T173" s="18" t="str">
        <f t="shared" si="157"/>
        <v>1+0.00222935827402299i</v>
      </c>
      <c r="U173" s="18">
        <f t="shared" si="169"/>
        <v>1.0000024850160694</v>
      </c>
      <c r="V173" s="18">
        <f t="shared" si="170"/>
        <v>2.2293545807019911E-3</v>
      </c>
      <c r="W173" s="32" t="str">
        <f t="shared" si="158"/>
        <v>1-0.00544954244761175i</v>
      </c>
      <c r="X173" s="18">
        <f t="shared" si="171"/>
        <v>1.000014848646203</v>
      </c>
      <c r="Y173" s="18">
        <f t="shared" si="172"/>
        <v>-5.4494885026206081E-3</v>
      </c>
      <c r="Z173" s="32" t="str">
        <f t="shared" si="159"/>
        <v>0.999999496429835+0.00267461685530223i</v>
      </c>
      <c r="AA173" s="18">
        <f t="shared" si="173"/>
        <v>1.0000030732129008</v>
      </c>
      <c r="AB173" s="18">
        <f t="shared" si="174"/>
        <v>2.6746118244868537E-3</v>
      </c>
      <c r="AC173" s="68" t="str">
        <f t="shared" si="175"/>
        <v>9.53672618016538-11.5270730509572i</v>
      </c>
      <c r="AD173" s="66">
        <f t="shared" si="176"/>
        <v>23.499038574860698</v>
      </c>
      <c r="AE173" s="63">
        <f t="shared" si="177"/>
        <v>-50.397928409233913</v>
      </c>
      <c r="AF173" s="51" t="e">
        <f t="shared" si="178"/>
        <v>#NUM!</v>
      </c>
      <c r="AG173" s="51" t="str">
        <f t="shared" si="160"/>
        <v>1-1.67201870551725i</v>
      </c>
      <c r="AH173" s="51">
        <f t="shared" si="179"/>
        <v>1.9482419130076172</v>
      </c>
      <c r="AI173" s="51">
        <f t="shared" si="180"/>
        <v>-1.0317902044882639</v>
      </c>
      <c r="AJ173" s="51" t="str">
        <f t="shared" si="161"/>
        <v>1+0.00222935827402299i</v>
      </c>
      <c r="AK173" s="51">
        <f t="shared" si="181"/>
        <v>1.0000024850160694</v>
      </c>
      <c r="AL173" s="51">
        <f t="shared" si="182"/>
        <v>2.2293545807019911E-3</v>
      </c>
      <c r="AM173" s="51" t="e">
        <f t="shared" si="162"/>
        <v>#NUM!</v>
      </c>
      <c r="AN173" s="51" t="e">
        <f t="shared" si="183"/>
        <v>#NUM!</v>
      </c>
      <c r="AO173" s="51" t="e">
        <f t="shared" si="184"/>
        <v>#NUM!</v>
      </c>
      <c r="AP173" s="60" t="e">
        <f t="shared" si="185"/>
        <v>#NUM!</v>
      </c>
      <c r="AQ173" s="51" t="e">
        <f t="shared" si="186"/>
        <v>#NUM!</v>
      </c>
      <c r="AR173" s="63" t="e">
        <f t="shared" si="187"/>
        <v>#NUM!</v>
      </c>
      <c r="AS173" s="32" t="str">
        <f t="shared" si="163"/>
        <v>-0.000170731707317073</v>
      </c>
      <c r="AT173" s="32" t="str">
        <f t="shared" si="164"/>
        <v>0.0000847156144128738i</v>
      </c>
      <c r="AU173" s="32">
        <f t="shared" si="188"/>
        <v>8.47156144128738E-5</v>
      </c>
      <c r="AV173" s="32">
        <f t="shared" si="189"/>
        <v>1.5707963267948966</v>
      </c>
      <c r="AW173" s="32" t="str">
        <f t="shared" si="165"/>
        <v>1+0.018036681783306i</v>
      </c>
      <c r="AX173" s="32">
        <f t="shared" si="190"/>
        <v>1.0001626477177361</v>
      </c>
      <c r="AY173" s="32">
        <f t="shared" si="191"/>
        <v>1.8034726255863137E-2</v>
      </c>
      <c r="AZ173" s="32" t="str">
        <f t="shared" si="166"/>
        <v>1+0.342696953882814i</v>
      </c>
      <c r="BA173" s="32">
        <f t="shared" si="192"/>
        <v>1.0570909148226371</v>
      </c>
      <c r="BB173" s="32">
        <f t="shared" si="193"/>
        <v>0.33015400849144511</v>
      </c>
      <c r="BC173" s="60" t="str">
        <f t="shared" si="194"/>
        <v>-0.654091648558082+2.02714875027514i</v>
      </c>
      <c r="BD173" s="51">
        <f t="shared" si="195"/>
        <v>6.5678485470424874</v>
      </c>
      <c r="BE173" s="63">
        <f t="shared" si="196"/>
        <v>107.88311757675139</v>
      </c>
      <c r="BF173" s="60" t="str">
        <f t="shared" si="197"/>
        <v>17.1291987805467+26.8721247727885i</v>
      </c>
      <c r="BG173" s="66">
        <f t="shared" si="198"/>
        <v>30.066887121903179</v>
      </c>
      <c r="BH173" s="63">
        <f t="shared" si="199"/>
        <v>57.485189167517547</v>
      </c>
      <c r="BI173" s="60" t="e">
        <f t="shared" si="152"/>
        <v>#NUM!</v>
      </c>
      <c r="BJ173" s="66" t="e">
        <f t="shared" si="200"/>
        <v>#NUM!</v>
      </c>
      <c r="BK173" s="63" t="e">
        <f t="shared" si="153"/>
        <v>#NUM!</v>
      </c>
      <c r="BL173" s="51">
        <f t="shared" si="201"/>
        <v>30.066887121903179</v>
      </c>
      <c r="BM173" s="63">
        <f t="shared" si="202"/>
        <v>57.485189167517547</v>
      </c>
    </row>
    <row r="174" spans="14:65" x14ac:dyDescent="0.3">
      <c r="N174" s="11">
        <v>56</v>
      </c>
      <c r="O174" s="52">
        <f t="shared" si="154"/>
        <v>363.07805477010152</v>
      </c>
      <c r="P174" s="50" t="str">
        <f t="shared" si="155"/>
        <v>23.3035714285714</v>
      </c>
      <c r="Q174" s="18" t="str">
        <f t="shared" si="156"/>
        <v>1+1.22211787451295i</v>
      </c>
      <c r="R174" s="18">
        <f t="shared" si="167"/>
        <v>1.5791048411058874</v>
      </c>
      <c r="S174" s="18">
        <f t="shared" si="168"/>
        <v>0.88502497135040281</v>
      </c>
      <c r="T174" s="18" t="str">
        <f t="shared" si="157"/>
        <v>1+0.00228128669909085i</v>
      </c>
      <c r="U174" s="18">
        <f t="shared" si="169"/>
        <v>1.0000026021311161</v>
      </c>
      <c r="V174" s="18">
        <f t="shared" si="170"/>
        <v>2.2812827416266554E-3</v>
      </c>
      <c r="W174" s="32" t="str">
        <f t="shared" si="158"/>
        <v>1-0.00557647859777763i</v>
      </c>
      <c r="X174" s="18">
        <f t="shared" si="171"/>
        <v>1.0000155484358988</v>
      </c>
      <c r="Y174" s="18">
        <f t="shared" si="172"/>
        <v>-5.5764207947267396E-3</v>
      </c>
      <c r="Z174" s="32" t="str">
        <f t="shared" si="159"/>
        <v>0.999999472697305+0.00273691668506677i</v>
      </c>
      <c r="AA174" s="18">
        <f t="shared" si="173"/>
        <v>1.0000032180487366</v>
      </c>
      <c r="AB174" s="18">
        <f t="shared" si="174"/>
        <v>2.7369112944519011E-3</v>
      </c>
      <c r="AC174" s="68" t="str">
        <f t="shared" si="175"/>
        <v>9.27653261262029-11.4775858587992i</v>
      </c>
      <c r="AD174" s="66">
        <f t="shared" si="176"/>
        <v>23.38036009516248</v>
      </c>
      <c r="AE174" s="63">
        <f t="shared" si="177"/>
        <v>-51.053806591494038</v>
      </c>
      <c r="AF174" s="51" t="e">
        <f t="shared" si="178"/>
        <v>#NUM!</v>
      </c>
      <c r="AG174" s="51" t="str">
        <f t="shared" si="160"/>
        <v>1-1.71096502431814i</v>
      </c>
      <c r="AH174" s="51">
        <f t="shared" si="179"/>
        <v>1.9817672200437602</v>
      </c>
      <c r="AI174" s="51">
        <f t="shared" si="180"/>
        <v>-1.0418775816008476</v>
      </c>
      <c r="AJ174" s="51" t="str">
        <f t="shared" si="161"/>
        <v>1+0.00228128669909085i</v>
      </c>
      <c r="AK174" s="51">
        <f t="shared" si="181"/>
        <v>1.0000026021311161</v>
      </c>
      <c r="AL174" s="51">
        <f t="shared" si="182"/>
        <v>2.2812827416266554E-3</v>
      </c>
      <c r="AM174" s="51" t="e">
        <f t="shared" si="162"/>
        <v>#NUM!</v>
      </c>
      <c r="AN174" s="51" t="e">
        <f t="shared" si="183"/>
        <v>#NUM!</v>
      </c>
      <c r="AO174" s="51" t="e">
        <f t="shared" si="184"/>
        <v>#NUM!</v>
      </c>
      <c r="AP174" s="60" t="e">
        <f t="shared" si="185"/>
        <v>#NUM!</v>
      </c>
      <c r="AQ174" s="51" t="e">
        <f t="shared" si="186"/>
        <v>#NUM!</v>
      </c>
      <c r="AR174" s="63" t="e">
        <f t="shared" si="187"/>
        <v>#NUM!</v>
      </c>
      <c r="AS174" s="32" t="str">
        <f t="shared" si="163"/>
        <v>-0.000170731707317073</v>
      </c>
      <c r="AT174" s="32" t="str">
        <f t="shared" si="164"/>
        <v>0.0000866888945654522i</v>
      </c>
      <c r="AU174" s="32">
        <f t="shared" si="188"/>
        <v>8.6688894565452199E-5</v>
      </c>
      <c r="AV174" s="32">
        <f t="shared" si="189"/>
        <v>1.5707963267948966</v>
      </c>
      <c r="AW174" s="32" t="str">
        <f t="shared" si="165"/>
        <v>1+0.018456810072855i</v>
      </c>
      <c r="AX174" s="32">
        <f t="shared" si="190"/>
        <v>1.0001703124158732</v>
      </c>
      <c r="AY174" s="32">
        <f t="shared" si="191"/>
        <v>1.8454714706718452E-2</v>
      </c>
      <c r="AZ174" s="32" t="str">
        <f t="shared" si="166"/>
        <v>1+0.350679391384246i</v>
      </c>
      <c r="BA174" s="32">
        <f t="shared" si="192"/>
        <v>1.0597056362696318</v>
      </c>
      <c r="BB174" s="32">
        <f t="shared" si="193"/>
        <v>0.33727993957524988</v>
      </c>
      <c r="BC174" s="60" t="str">
        <f t="shared" si="194"/>
        <v>-0.654081623473821+1.98154837569643i</v>
      </c>
      <c r="BD174" s="51">
        <f t="shared" si="195"/>
        <v>6.3892400620839238</v>
      </c>
      <c r="BE174" s="63">
        <f t="shared" si="196"/>
        <v>108.26733978727634</v>
      </c>
      <c r="BF174" s="60" t="str">
        <f t="shared" si="197"/>
        <v>16.6757821039493+25.8891761227162i</v>
      </c>
      <c r="BG174" s="66">
        <f t="shared" si="198"/>
        <v>29.769600157246387</v>
      </c>
      <c r="BH174" s="63">
        <f t="shared" si="199"/>
        <v>57.213533195782347</v>
      </c>
      <c r="BI174" s="60" t="e">
        <f t="shared" si="152"/>
        <v>#NUM!</v>
      </c>
      <c r="BJ174" s="66" t="e">
        <f t="shared" si="200"/>
        <v>#NUM!</v>
      </c>
      <c r="BK174" s="63" t="e">
        <f t="shared" si="153"/>
        <v>#NUM!</v>
      </c>
      <c r="BL174" s="51">
        <f t="shared" si="201"/>
        <v>29.769600157246387</v>
      </c>
      <c r="BM174" s="63">
        <f t="shared" si="202"/>
        <v>57.213533195782347</v>
      </c>
    </row>
    <row r="175" spans="14:65" x14ac:dyDescent="0.3">
      <c r="N175" s="11">
        <v>57</v>
      </c>
      <c r="O175" s="52">
        <f t="shared" si="154"/>
        <v>371.53522909717265</v>
      </c>
      <c r="P175" s="50" t="str">
        <f t="shared" si="155"/>
        <v>23.3035714285714</v>
      </c>
      <c r="Q175" s="18" t="str">
        <f t="shared" si="156"/>
        <v>1+1.25058465673016i</v>
      </c>
      <c r="R175" s="18">
        <f t="shared" si="167"/>
        <v>1.6012376412165972</v>
      </c>
      <c r="S175" s="18">
        <f t="shared" si="168"/>
        <v>0.89628347823940169</v>
      </c>
      <c r="T175" s="18" t="str">
        <f t="shared" si="157"/>
        <v>1+0.00233442469256296i</v>
      </c>
      <c r="U175" s="18">
        <f t="shared" si="169"/>
        <v>1.0000027247656105</v>
      </c>
      <c r="V175" s="18">
        <f t="shared" si="170"/>
        <v>2.3344204520642999E-3</v>
      </c>
      <c r="W175" s="32" t="str">
        <f t="shared" si="158"/>
        <v>1-0.00570637147070946i</v>
      </c>
      <c r="X175" s="18">
        <f t="shared" si="171"/>
        <v>1.0000162812051421</v>
      </c>
      <c r="Y175" s="18">
        <f t="shared" si="172"/>
        <v>-5.7063095336789922E-3</v>
      </c>
      <c r="Z175" s="32" t="str">
        <f t="shared" si="159"/>
        <v>0.999999447846294+0.0028006676642851i</v>
      </c>
      <c r="AA175" s="18">
        <f t="shared" si="173"/>
        <v>1.0000033697104518</v>
      </c>
      <c r="AB175" s="18">
        <f t="shared" si="174"/>
        <v>2.8006618881382468E-3</v>
      </c>
      <c r="AC175" s="68" t="str">
        <f t="shared" si="175"/>
        <v>9.01869963031493-11.4224911994857i</v>
      </c>
      <c r="AD175" s="66">
        <f t="shared" si="176"/>
        <v>23.259469691781355</v>
      </c>
      <c r="AE175" s="63">
        <f t="shared" si="177"/>
        <v>-51.706921669819486</v>
      </c>
      <c r="AF175" s="51" t="e">
        <f t="shared" si="178"/>
        <v>#NUM!</v>
      </c>
      <c r="AG175" s="51" t="str">
        <f t="shared" si="160"/>
        <v>1-1.75081851942222i</v>
      </c>
      <c r="AH175" s="51">
        <f t="shared" si="179"/>
        <v>2.0162751518460507</v>
      </c>
      <c r="AI175" s="51">
        <f t="shared" si="180"/>
        <v>-1.0518516232335862</v>
      </c>
      <c r="AJ175" s="51" t="str">
        <f t="shared" si="161"/>
        <v>1+0.00233442469256296i</v>
      </c>
      <c r="AK175" s="51">
        <f t="shared" si="181"/>
        <v>1.0000027247656105</v>
      </c>
      <c r="AL175" s="51">
        <f t="shared" si="182"/>
        <v>2.3344204520642999E-3</v>
      </c>
      <c r="AM175" s="51" t="e">
        <f t="shared" si="162"/>
        <v>#NUM!</v>
      </c>
      <c r="AN175" s="51" t="e">
        <f t="shared" si="183"/>
        <v>#NUM!</v>
      </c>
      <c r="AO175" s="51" t="e">
        <f t="shared" si="184"/>
        <v>#NUM!</v>
      </c>
      <c r="AP175" s="60" t="e">
        <f t="shared" si="185"/>
        <v>#NUM!</v>
      </c>
      <c r="AQ175" s="51" t="e">
        <f t="shared" si="186"/>
        <v>#NUM!</v>
      </c>
      <c r="AR175" s="63" t="e">
        <f t="shared" si="187"/>
        <v>#NUM!</v>
      </c>
      <c r="AS175" s="32" t="str">
        <f t="shared" si="163"/>
        <v>-0.000170731707317073</v>
      </c>
      <c r="AT175" s="32" t="str">
        <f t="shared" si="164"/>
        <v>0.0000887081383173924i</v>
      </c>
      <c r="AU175" s="32">
        <f t="shared" si="188"/>
        <v>8.8708138317392403E-5</v>
      </c>
      <c r="AV175" s="32">
        <f t="shared" si="189"/>
        <v>1.5707963267948966</v>
      </c>
      <c r="AW175" s="32" t="str">
        <f t="shared" si="165"/>
        <v>1+0.0188867244074094i</v>
      </c>
      <c r="AX175" s="32">
        <f t="shared" si="190"/>
        <v>1.0001783382771501</v>
      </c>
      <c r="AY175" s="32">
        <f t="shared" si="191"/>
        <v>1.8884479203763804E-2</v>
      </c>
      <c r="AZ175" s="32" t="str">
        <f t="shared" si="166"/>
        <v>1+0.358847763740778i</v>
      </c>
      <c r="BA175" s="32">
        <f t="shared" si="192"/>
        <v>1.0624366887216183</v>
      </c>
      <c r="BB175" s="32">
        <f t="shared" si="193"/>
        <v>0.34453516704418186</v>
      </c>
      <c r="BC175" s="60" t="str">
        <f t="shared" si="194"/>
        <v>-0.654071126251252+1.93699862685654i</v>
      </c>
      <c r="BD175" s="51">
        <f t="shared" si="195"/>
        <v>6.2115266700847069</v>
      </c>
      <c r="BE175" s="63">
        <f t="shared" si="196"/>
        <v>108.65841000878811</v>
      </c>
      <c r="BF175" s="60" t="str">
        <f t="shared" si="197"/>
        <v>16.2264787441629+24.9403304833942i</v>
      </c>
      <c r="BG175" s="66">
        <f t="shared" si="198"/>
        <v>29.470996361866057</v>
      </c>
      <c r="BH175" s="63">
        <f t="shared" si="199"/>
        <v>56.951488338968559</v>
      </c>
      <c r="BI175" s="60" t="e">
        <f t="shared" si="152"/>
        <v>#NUM!</v>
      </c>
      <c r="BJ175" s="66" t="e">
        <f t="shared" si="200"/>
        <v>#NUM!</v>
      </c>
      <c r="BK175" s="63" t="e">
        <f t="shared" si="153"/>
        <v>#NUM!</v>
      </c>
      <c r="BL175" s="51">
        <f t="shared" si="201"/>
        <v>29.470996361866057</v>
      </c>
      <c r="BM175" s="63">
        <f t="shared" si="202"/>
        <v>56.951488338968559</v>
      </c>
    </row>
    <row r="176" spans="14:65" x14ac:dyDescent="0.3">
      <c r="N176" s="11">
        <v>58</v>
      </c>
      <c r="O176" s="52">
        <f t="shared" si="154"/>
        <v>380.18939632056163</v>
      </c>
      <c r="P176" s="50" t="str">
        <f t="shared" si="155"/>
        <v>23.3035714285714</v>
      </c>
      <c r="Q176" s="18" t="str">
        <f t="shared" si="156"/>
        <v>1+1.2797145154858i</v>
      </c>
      <c r="R176" s="18">
        <f t="shared" si="167"/>
        <v>1.624090281094329</v>
      </c>
      <c r="S176" s="18">
        <f t="shared" si="168"/>
        <v>0.90748511544934007</v>
      </c>
      <c r="T176" s="18" t="str">
        <f t="shared" si="157"/>
        <v>1+0.00238880042890683i</v>
      </c>
      <c r="U176" s="18">
        <f t="shared" si="169"/>
        <v>1.0000028531796743</v>
      </c>
      <c r="V176" s="18">
        <f t="shared" si="170"/>
        <v>2.3887958851313519E-3</v>
      </c>
      <c r="W176" s="32" t="str">
        <f t="shared" si="158"/>
        <v>1-0.00583928993732781i</v>
      </c>
      <c r="X176" s="18">
        <f t="shared" si="171"/>
        <v>1.0000170485081603</v>
      </c>
      <c r="Y176" s="18">
        <f t="shared" si="172"/>
        <v>-5.8392235706650622E-3</v>
      </c>
      <c r="Z176" s="32" t="str">
        <f t="shared" si="159"/>
        <v>0.999999421824092+0.00286590359457025i</v>
      </c>
      <c r="AA176" s="18">
        <f t="shared" si="173"/>
        <v>1.0000035285197406</v>
      </c>
      <c r="AB176" s="18">
        <f t="shared" si="174"/>
        <v>2.8658974053185566E-3</v>
      </c>
      <c r="AC176" s="68" t="str">
        <f t="shared" si="175"/>
        <v>8.76346472535584-11.3619273791717i</v>
      </c>
      <c r="AD176" s="66">
        <f t="shared" si="176"/>
        <v>23.136388558668422</v>
      </c>
      <c r="AE176" s="63">
        <f t="shared" si="177"/>
        <v>-52.35696585592796</v>
      </c>
      <c r="AF176" s="51" t="e">
        <f t="shared" si="178"/>
        <v>#NUM!</v>
      </c>
      <c r="AG176" s="51" t="str">
        <f t="shared" si="160"/>
        <v>1-1.79160032168013i</v>
      </c>
      <c r="AH176" s="51">
        <f t="shared" si="179"/>
        <v>2.0517874433391841</v>
      </c>
      <c r="AI176" s="51">
        <f t="shared" si="180"/>
        <v>-1.061709679283344</v>
      </c>
      <c r="AJ176" s="51" t="str">
        <f t="shared" si="161"/>
        <v>1+0.00238880042890683i</v>
      </c>
      <c r="AK176" s="51">
        <f t="shared" si="181"/>
        <v>1.0000028531796743</v>
      </c>
      <c r="AL176" s="51">
        <f t="shared" si="182"/>
        <v>2.3887958851313519E-3</v>
      </c>
      <c r="AM176" s="51" t="e">
        <f t="shared" si="162"/>
        <v>#NUM!</v>
      </c>
      <c r="AN176" s="51" t="e">
        <f t="shared" si="183"/>
        <v>#NUM!</v>
      </c>
      <c r="AO176" s="51" t="e">
        <f t="shared" si="184"/>
        <v>#NUM!</v>
      </c>
      <c r="AP176" s="60" t="e">
        <f t="shared" si="185"/>
        <v>#NUM!</v>
      </c>
      <c r="AQ176" s="51" t="e">
        <f t="shared" si="186"/>
        <v>#NUM!</v>
      </c>
      <c r="AR176" s="63" t="e">
        <f t="shared" si="187"/>
        <v>#NUM!</v>
      </c>
      <c r="AS176" s="32" t="str">
        <f t="shared" si="163"/>
        <v>-0.000170731707317073</v>
      </c>
      <c r="AT176" s="32" t="str">
        <f t="shared" si="164"/>
        <v>0.0000907744162984595i</v>
      </c>
      <c r="AU176" s="32">
        <f t="shared" si="188"/>
        <v>9.0774416298459499E-5</v>
      </c>
      <c r="AV176" s="32">
        <f t="shared" si="189"/>
        <v>1.5707963267948966</v>
      </c>
      <c r="AW176" s="32" t="str">
        <f t="shared" si="165"/>
        <v>1+0.0193266527332399i</v>
      </c>
      <c r="AX176" s="32">
        <f t="shared" si="190"/>
        <v>1.0001867423165891</v>
      </c>
      <c r="AY176" s="32">
        <f t="shared" si="191"/>
        <v>1.9324246978448336E-2</v>
      </c>
      <c r="AZ176" s="32" t="str">
        <f t="shared" si="166"/>
        <v>1+0.367206401931558i</v>
      </c>
      <c r="BA176" s="32">
        <f t="shared" si="192"/>
        <v>1.0652889474783453</v>
      </c>
      <c r="BB176" s="32">
        <f t="shared" si="193"/>
        <v>0.35192048154106509</v>
      </c>
      <c r="BC176" s="60" t="str">
        <f t="shared" si="194"/>
        <v>-0.654060134670951+1.89347588164259i</v>
      </c>
      <c r="BD176" s="51">
        <f t="shared" si="195"/>
        <v>6.0347409182452036</v>
      </c>
      <c r="BE176" s="63">
        <f t="shared" si="196"/>
        <v>109.05636052238104</v>
      </c>
      <c r="BF176" s="60" t="str">
        <f t="shared" si="197"/>
        <v>15.7817025429858+24.0247928488295i</v>
      </c>
      <c r="BG176" s="66">
        <f t="shared" si="198"/>
        <v>29.17112947691362</v>
      </c>
      <c r="BH176" s="63">
        <f t="shared" si="199"/>
        <v>56.699394666453159</v>
      </c>
      <c r="BI176" s="60" t="e">
        <f t="shared" si="152"/>
        <v>#NUM!</v>
      </c>
      <c r="BJ176" s="66" t="e">
        <f t="shared" si="200"/>
        <v>#NUM!</v>
      </c>
      <c r="BK176" s="63" t="e">
        <f t="shared" si="153"/>
        <v>#NUM!</v>
      </c>
      <c r="BL176" s="51">
        <f t="shared" si="201"/>
        <v>29.17112947691362</v>
      </c>
      <c r="BM176" s="63">
        <f t="shared" si="202"/>
        <v>56.699394666453159</v>
      </c>
    </row>
    <row r="177" spans="14:65" x14ac:dyDescent="0.3">
      <c r="N177" s="11">
        <v>59</v>
      </c>
      <c r="O177" s="52">
        <f t="shared" si="154"/>
        <v>389.04514499428063</v>
      </c>
      <c r="P177" s="50" t="str">
        <f t="shared" si="155"/>
        <v>23.3035714285714</v>
      </c>
      <c r="Q177" s="18" t="str">
        <f t="shared" si="156"/>
        <v>1+1.30952289581658i</v>
      </c>
      <c r="R177" s="18">
        <f t="shared" si="167"/>
        <v>1.6476802525574681</v>
      </c>
      <c r="S177" s="18">
        <f t="shared" si="168"/>
        <v>0.91862457847899126</v>
      </c>
      <c r="T177" s="18" t="str">
        <f t="shared" si="157"/>
        <v>1+0.00244444273885762i</v>
      </c>
      <c r="U177" s="18">
        <f t="shared" si="169"/>
        <v>1.0000029876456888</v>
      </c>
      <c r="V177" s="18">
        <f t="shared" si="170"/>
        <v>2.4444378701152618E-3</v>
      </c>
      <c r="W177" s="32" t="str">
        <f t="shared" si="158"/>
        <v>1-0.00597530447276307i</v>
      </c>
      <c r="X177" s="18">
        <f t="shared" si="171"/>
        <v>1.0000178519724245</v>
      </c>
      <c r="Y177" s="18">
        <f t="shared" si="172"/>
        <v>-5.9752333596712745E-3</v>
      </c>
      <c r="Z177" s="32" t="str">
        <f t="shared" si="159"/>
        <v>0.999999394575501+0.00293265906487596i</v>
      </c>
      <c r="AA177" s="18">
        <f t="shared" si="173"/>
        <v>1.0000036948134539</v>
      </c>
      <c r="AB177" s="18">
        <f t="shared" si="174"/>
        <v>2.932652432974598E-3</v>
      </c>
      <c r="AC177" s="68" t="str">
        <f t="shared" si="175"/>
        <v>8.51105518025394-11.2960445800652i</v>
      </c>
      <c r="AD177" s="66">
        <f t="shared" si="176"/>
        <v>23.011139875558058</v>
      </c>
      <c r="AE177" s="63">
        <f t="shared" si="177"/>
        <v>-53.003639590894117</v>
      </c>
      <c r="AF177" s="51" t="e">
        <f t="shared" si="178"/>
        <v>#NUM!</v>
      </c>
      <c r="AG177" s="51" t="str">
        <f t="shared" si="160"/>
        <v>1-1.83333205414322i</v>
      </c>
      <c r="AH177" s="51">
        <f t="shared" si="179"/>
        <v>2.0883262246950305</v>
      </c>
      <c r="AI177" s="51">
        <f t="shared" si="180"/>
        <v>-1.0714493117971307</v>
      </c>
      <c r="AJ177" s="51" t="str">
        <f t="shared" si="161"/>
        <v>1+0.00244444273885762i</v>
      </c>
      <c r="AK177" s="51">
        <f t="shared" si="181"/>
        <v>1.0000029876456888</v>
      </c>
      <c r="AL177" s="51">
        <f t="shared" si="182"/>
        <v>2.4444378701152618E-3</v>
      </c>
      <c r="AM177" s="51" t="e">
        <f t="shared" si="162"/>
        <v>#NUM!</v>
      </c>
      <c r="AN177" s="51" t="e">
        <f t="shared" si="183"/>
        <v>#NUM!</v>
      </c>
      <c r="AO177" s="51" t="e">
        <f t="shared" si="184"/>
        <v>#NUM!</v>
      </c>
      <c r="AP177" s="60" t="e">
        <f t="shared" si="185"/>
        <v>#NUM!</v>
      </c>
      <c r="AQ177" s="51" t="e">
        <f t="shared" si="186"/>
        <v>#NUM!</v>
      </c>
      <c r="AR177" s="63" t="e">
        <f t="shared" si="187"/>
        <v>#NUM!</v>
      </c>
      <c r="AS177" s="32" t="str">
        <f t="shared" si="163"/>
        <v>-0.000170731707317073</v>
      </c>
      <c r="AT177" s="32" t="str">
        <f t="shared" si="164"/>
        <v>0.0000928888240765894i</v>
      </c>
      <c r="AU177" s="32">
        <f t="shared" si="188"/>
        <v>9.2888824076589407E-5</v>
      </c>
      <c r="AV177" s="32">
        <f t="shared" si="189"/>
        <v>1.5707963267948966</v>
      </c>
      <c r="AW177" s="32" t="str">
        <f t="shared" si="165"/>
        <v>1+0.019776828306168i</v>
      </c>
      <c r="AX177" s="32">
        <f t="shared" si="190"/>
        <v>1.0001955423505204</v>
      </c>
      <c r="AY177" s="32">
        <f t="shared" si="191"/>
        <v>1.977425052068342E-2</v>
      </c>
      <c r="AZ177" s="32" t="str">
        <f t="shared" si="166"/>
        <v>1+0.375759737817194i</v>
      </c>
      <c r="BA177" s="32">
        <f t="shared" si="192"/>
        <v>1.0682674667724588</v>
      </c>
      <c r="BB177" s="32">
        <f t="shared" si="193"/>
        <v>0.35943657535543266</v>
      </c>
      <c r="BC177" s="60" t="str">
        <f t="shared" si="194"/>
        <v>-0.654048625469375+1.85095706238364i</v>
      </c>
      <c r="BD177" s="51">
        <f t="shared" si="195"/>
        <v>5.8589161232691724</v>
      </c>
      <c r="BE177" s="63">
        <f t="shared" si="196"/>
        <v>109.46121767263278</v>
      </c>
      <c r="BF177" s="60" t="str">
        <f t="shared" si="197"/>
        <v>15.341849550533+23.1417601250603i</v>
      </c>
      <c r="BG177" s="66">
        <f t="shared" si="198"/>
        <v>28.870055998827219</v>
      </c>
      <c r="BH177" s="63">
        <f t="shared" si="199"/>
        <v>56.457578081738703</v>
      </c>
      <c r="BI177" s="60" t="e">
        <f t="shared" si="152"/>
        <v>#NUM!</v>
      </c>
      <c r="BJ177" s="66" t="e">
        <f t="shared" si="200"/>
        <v>#NUM!</v>
      </c>
      <c r="BK177" s="63" t="e">
        <f t="shared" si="153"/>
        <v>#NUM!</v>
      </c>
      <c r="BL177" s="51">
        <f t="shared" si="201"/>
        <v>28.870055998827219</v>
      </c>
      <c r="BM177" s="63">
        <f t="shared" si="202"/>
        <v>56.457578081738703</v>
      </c>
    </row>
    <row r="178" spans="14:65" x14ac:dyDescent="0.3">
      <c r="N178" s="11">
        <v>60</v>
      </c>
      <c r="O178" s="52">
        <f t="shared" si="154"/>
        <v>398.10717055349761</v>
      </c>
      <c r="P178" s="50" t="str">
        <f t="shared" si="155"/>
        <v>23.3035714285714</v>
      </c>
      <c r="Q178" s="18" t="str">
        <f t="shared" si="156"/>
        <v>1+1.3400256025203i</v>
      </c>
      <c r="R178" s="18">
        <f t="shared" si="167"/>
        <v>1.6720253034598169</v>
      </c>
      <c r="S178" s="18">
        <f t="shared" si="168"/>
        <v>0.92969671597143022</v>
      </c>
      <c r="T178" s="18" t="str">
        <f t="shared" si="157"/>
        <v>1+0.00250138112470457i</v>
      </c>
      <c r="U178" s="18">
        <f t="shared" si="169"/>
        <v>1.000003128448872</v>
      </c>
      <c r="V178" s="18">
        <f t="shared" si="170"/>
        <v>2.5013759077540227E-3</v>
      </c>
      <c r="W178" s="32" t="str">
        <f t="shared" si="158"/>
        <v>1-0.00611448719372228i</v>
      </c>
      <c r="X178" s="18">
        <f t="shared" si="171"/>
        <v>1.0000186933021014</v>
      </c>
      <c r="Y178" s="18">
        <f t="shared" si="172"/>
        <v>-6.1144109947484952E-3</v>
      </c>
      <c r="Z178" s="32" t="str">
        <f t="shared" si="159"/>
        <v>0.999999366042723+0.00300096946983619i</v>
      </c>
      <c r="AA178" s="18">
        <f t="shared" si="173"/>
        <v>1.0000038689443189</v>
      </c>
      <c r="AB178" s="18">
        <f t="shared" si="174"/>
        <v>3.000962363627326E-3</v>
      </c>
      <c r="AC178" s="68" t="str">
        <f t="shared" si="175"/>
        <v>8.26168735521988-11.2250039813408i</v>
      </c>
      <c r="AD178" s="66">
        <f t="shared" si="176"/>
        <v>22.883748717700705</v>
      </c>
      <c r="AE178" s="63">
        <f t="shared" si="177"/>
        <v>-53.646652191966723</v>
      </c>
      <c r="AF178" s="51" t="e">
        <f t="shared" si="178"/>
        <v>#NUM!</v>
      </c>
      <c r="AG178" s="51" t="str">
        <f t="shared" si="160"/>
        <v>1-1.87603584352843i</v>
      </c>
      <c r="AH178" s="51">
        <f t="shared" si="179"/>
        <v>2.1259140354688446</v>
      </c>
      <c r="AI178" s="51">
        <f t="shared" si="180"/>
        <v>-1.0810682928710664</v>
      </c>
      <c r="AJ178" s="51" t="str">
        <f t="shared" si="161"/>
        <v>1+0.00250138112470457i</v>
      </c>
      <c r="AK178" s="51">
        <f t="shared" si="181"/>
        <v>1.000003128448872</v>
      </c>
      <c r="AL178" s="51">
        <f t="shared" si="182"/>
        <v>2.5013759077540227E-3</v>
      </c>
      <c r="AM178" s="51" t="e">
        <f t="shared" si="162"/>
        <v>#NUM!</v>
      </c>
      <c r="AN178" s="51" t="e">
        <f t="shared" si="183"/>
        <v>#NUM!</v>
      </c>
      <c r="AO178" s="51" t="e">
        <f t="shared" si="184"/>
        <v>#NUM!</v>
      </c>
      <c r="AP178" s="60" t="e">
        <f t="shared" si="185"/>
        <v>#NUM!</v>
      </c>
      <c r="AQ178" s="51" t="e">
        <f t="shared" si="186"/>
        <v>#NUM!</v>
      </c>
      <c r="AR178" s="63" t="e">
        <f t="shared" si="187"/>
        <v>#NUM!</v>
      </c>
      <c r="AS178" s="32" t="str">
        <f t="shared" si="163"/>
        <v>-0.000170731707317073</v>
      </c>
      <c r="AT178" s="32" t="str">
        <f t="shared" si="164"/>
        <v>0.0000950524827387738i</v>
      </c>
      <c r="AU178" s="32">
        <f t="shared" si="188"/>
        <v>9.5052482738773798E-5</v>
      </c>
      <c r="AV178" s="32">
        <f t="shared" si="189"/>
        <v>1.5707963267948966</v>
      </c>
      <c r="AW178" s="32" t="str">
        <f t="shared" si="165"/>
        <v>1+0.0202374898152414i</v>
      </c>
      <c r="AX178" s="32">
        <f t="shared" si="190"/>
        <v>1.0002047570342896</v>
      </c>
      <c r="AY178" s="32">
        <f t="shared" si="191"/>
        <v>2.0234727698868495E-2</v>
      </c>
      <c r="AZ178" s="32" t="str">
        <f t="shared" si="166"/>
        <v>1+0.384512306489587i</v>
      </c>
      <c r="BA178" s="32">
        <f t="shared" si="192"/>
        <v>1.0713774842892407</v>
      </c>
      <c r="BB178" s="32">
        <f t="shared" si="193"/>
        <v>0.36708403585499061</v>
      </c>
      <c r="BC178" s="60" t="str">
        <f t="shared" si="194"/>
        <v>-0.654036574289954+1.80941962360822i</v>
      </c>
      <c r="BD178" s="51">
        <f t="shared" si="195"/>
        <v>5.6840863543488069</v>
      </c>
      <c r="BE178" s="63">
        <f t="shared" si="196"/>
        <v>109.87300148437825</v>
      </c>
      <c r="BF178" s="60" t="str">
        <f t="shared" si="197"/>
        <v>14.9072967832558+22.290422374998i</v>
      </c>
      <c r="BG178" s="66">
        <f t="shared" si="198"/>
        <v>28.567835072049519</v>
      </c>
      <c r="BH178" s="63">
        <f t="shared" si="199"/>
        <v>56.226349292411548</v>
      </c>
      <c r="BI178" s="60" t="e">
        <f t="shared" ref="BI178:BI241" si="203">IMPRODUCT(AP178,BC178)</f>
        <v>#NUM!</v>
      </c>
      <c r="BJ178" s="66" t="e">
        <f t="shared" si="200"/>
        <v>#NUM!</v>
      </c>
      <c r="BK178" s="63" t="e">
        <f t="shared" ref="BK178:BK241" si="204">(180/PI())*IMARGUMENT(BI178)</f>
        <v>#NUM!</v>
      </c>
      <c r="BL178" s="51">
        <f t="shared" si="201"/>
        <v>28.567835072049519</v>
      </c>
      <c r="BM178" s="63">
        <f t="shared" si="202"/>
        <v>56.226349292411548</v>
      </c>
    </row>
    <row r="179" spans="14:65" x14ac:dyDescent="0.3">
      <c r="N179" s="11">
        <v>61</v>
      </c>
      <c r="O179" s="52">
        <f t="shared" si="154"/>
        <v>407.38027780411272</v>
      </c>
      <c r="P179" s="50" t="str">
        <f t="shared" si="155"/>
        <v>23.3035714285714</v>
      </c>
      <c r="Q179" s="18" t="str">
        <f t="shared" si="156"/>
        <v>1+1.37123880853582i</v>
      </c>
      <c r="R179" s="18">
        <f t="shared" si="167"/>
        <v>1.697143444153951</v>
      </c>
      <c r="S179" s="18">
        <f t="shared" si="168"/>
        <v>0.94069654007555092</v>
      </c>
      <c r="T179" s="18" t="str">
        <f t="shared" si="157"/>
        <v>1+0.00255964577593354i</v>
      </c>
      <c r="U179" s="18">
        <f t="shared" si="169"/>
        <v>1.0000032758878834</v>
      </c>
      <c r="V179" s="18">
        <f t="shared" si="170"/>
        <v>2.5596401858713029E-3</v>
      </c>
      <c r="W179" s="32" t="str">
        <f t="shared" si="158"/>
        <v>1-0.00625691189672643i</v>
      </c>
      <c r="X179" s="18">
        <f t="shared" si="171"/>
        <v>1.0000195742816655</v>
      </c>
      <c r="Y179" s="18">
        <f t="shared" si="172"/>
        <v>-6.2568302481412963E-3</v>
      </c>
      <c r="Z179" s="32" t="str">
        <f t="shared" si="159"/>
        <v>0.999999336165237+0.00307087102853187i</v>
      </c>
      <c r="AA179" s="18">
        <f t="shared" si="173"/>
        <v>1.0000040512816879</v>
      </c>
      <c r="AB179" s="18">
        <f t="shared" si="174"/>
        <v>3.0708634140935395E-3</v>
      </c>
      <c r="AC179" s="68" t="str">
        <f t="shared" si="175"/>
        <v>8.01556606191385-11.148976834933i</v>
      </c>
      <c r="AD179" s="66">
        <f t="shared" si="176"/>
        <v>22.754241959877568</v>
      </c>
      <c r="AE179" s="63">
        <f t="shared" si="177"/>
        <v>-54.285722448602513</v>
      </c>
      <c r="AF179" s="51" t="e">
        <f t="shared" si="178"/>
        <v>#NUM!</v>
      </c>
      <c r="AG179" s="51" t="str">
        <f t="shared" si="160"/>
        <v>1-1.91973433195016i</v>
      </c>
      <c r="AH179" s="51">
        <f t="shared" si="179"/>
        <v>2.1645738391813127</v>
      </c>
      <c r="AI179" s="51">
        <f t="shared" si="180"/>
        <v>-1.090564601866844</v>
      </c>
      <c r="AJ179" s="51" t="str">
        <f t="shared" si="161"/>
        <v>1+0.00255964577593354i</v>
      </c>
      <c r="AK179" s="51">
        <f t="shared" si="181"/>
        <v>1.0000032758878834</v>
      </c>
      <c r="AL179" s="51">
        <f t="shared" si="182"/>
        <v>2.5596401858713029E-3</v>
      </c>
      <c r="AM179" s="51" t="e">
        <f t="shared" si="162"/>
        <v>#NUM!</v>
      </c>
      <c r="AN179" s="51" t="e">
        <f t="shared" si="183"/>
        <v>#NUM!</v>
      </c>
      <c r="AO179" s="51" t="e">
        <f t="shared" si="184"/>
        <v>#NUM!</v>
      </c>
      <c r="AP179" s="60" t="e">
        <f t="shared" si="185"/>
        <v>#NUM!</v>
      </c>
      <c r="AQ179" s="51" t="e">
        <f t="shared" si="186"/>
        <v>#NUM!</v>
      </c>
      <c r="AR179" s="63" t="e">
        <f t="shared" si="187"/>
        <v>#NUM!</v>
      </c>
      <c r="AS179" s="32" t="str">
        <f t="shared" si="163"/>
        <v>-0.000170731707317073</v>
      </c>
      <c r="AT179" s="32" t="str">
        <f t="shared" si="164"/>
        <v>0.0000972665394854745i</v>
      </c>
      <c r="AU179" s="32">
        <f t="shared" si="188"/>
        <v>9.7266539485474496E-5</v>
      </c>
      <c r="AV179" s="32">
        <f t="shared" si="189"/>
        <v>1.5707963267948966</v>
      </c>
      <c r="AW179" s="32" t="str">
        <f t="shared" si="165"/>
        <v>1+0.0207088815092896i</v>
      </c>
      <c r="AX179" s="32">
        <f t="shared" si="190"/>
        <v>1.0002144059017375</v>
      </c>
      <c r="AY179" s="32">
        <f t="shared" si="191"/>
        <v>2.0705921882536654E-2</v>
      </c>
      <c r="AZ179" s="32" t="str">
        <f t="shared" si="166"/>
        <v>1+0.393468748676504i</v>
      </c>
      <c r="BA179" s="32">
        <f t="shared" si="192"/>
        <v>1.0746244256413744</v>
      </c>
      <c r="BB179" s="32">
        <f t="shared" si="193"/>
        <v>0.3748633388045044</v>
      </c>
      <c r="BC179" s="60" t="str">
        <f t="shared" si="194"/>
        <v>-0.654023955631923+1.76884154008353i</v>
      </c>
      <c r="BD179" s="51">
        <f t="shared" si="195"/>
        <v>5.5102864125546702</v>
      </c>
      <c r="BE179" s="63">
        <f t="shared" si="196"/>
        <v>110.29172527288381</v>
      </c>
      <c r="BF179" s="60" t="str">
        <f t="shared" si="197"/>
        <v>14.4784011326166+21.4699641484285i</v>
      </c>
      <c r="BG179" s="66">
        <f t="shared" si="198"/>
        <v>28.264528372432231</v>
      </c>
      <c r="BH179" s="63">
        <f t="shared" si="199"/>
        <v>56.006002824281261</v>
      </c>
      <c r="BI179" s="60" t="e">
        <f t="shared" si="203"/>
        <v>#NUM!</v>
      </c>
      <c r="BJ179" s="66" t="e">
        <f t="shared" si="200"/>
        <v>#NUM!</v>
      </c>
      <c r="BK179" s="63" t="e">
        <f t="shared" si="204"/>
        <v>#NUM!</v>
      </c>
      <c r="BL179" s="51">
        <f t="shared" si="201"/>
        <v>28.264528372432231</v>
      </c>
      <c r="BM179" s="63">
        <f t="shared" si="202"/>
        <v>56.006002824281261</v>
      </c>
    </row>
    <row r="180" spans="14:65" x14ac:dyDescent="0.3">
      <c r="N180" s="11">
        <v>62</v>
      </c>
      <c r="O180" s="52">
        <f t="shared" si="154"/>
        <v>416.86938347033572</v>
      </c>
      <c r="P180" s="50" t="str">
        <f t="shared" si="155"/>
        <v>23.3035714285714</v>
      </c>
      <c r="Q180" s="18" t="str">
        <f t="shared" si="156"/>
        <v>1+1.40317906351812i</v>
      </c>
      <c r="R180" s="18">
        <f t="shared" si="167"/>
        <v>1.7230529545825306</v>
      </c>
      <c r="S180" s="18">
        <f t="shared" si="168"/>
        <v>0.95161923588051811</v>
      </c>
      <c r="T180" s="18" t="str">
        <f t="shared" si="157"/>
        <v>1+0.00261926758523383i</v>
      </c>
      <c r="U180" s="18">
        <f t="shared" si="169"/>
        <v>1.0000034302754581</v>
      </c>
      <c r="V180" s="18">
        <f t="shared" si="170"/>
        <v>2.6192615953753353E-3</v>
      </c>
      <c r="W180" s="32" t="str">
        <f t="shared" si="158"/>
        <v>1-0.00640265409723825i</v>
      </c>
      <c r="X180" s="18">
        <f t="shared" si="171"/>
        <v>1.0000204967796855</v>
      </c>
      <c r="Y180" s="18">
        <f t="shared" si="172"/>
        <v>-6.4025666092998815E-3</v>
      </c>
      <c r="Z180" s="32" t="str">
        <f t="shared" si="159"/>
        <v>0.999999304879668+0.00314240080369466i</v>
      </c>
      <c r="AA180" s="18">
        <f t="shared" si="173"/>
        <v>1.000004242212317</v>
      </c>
      <c r="AB180" s="18">
        <f t="shared" si="174"/>
        <v>3.1423926446788471E-3</v>
      </c>
      <c r="AC180" s="68" t="str">
        <f t="shared" si="175"/>
        <v>7.77288402625254-11.0681435056388i</v>
      </c>
      <c r="AD180" s="66">
        <f t="shared" si="176"/>
        <v>22.622648175447711</v>
      </c>
      <c r="AE180" s="63">
        <f t="shared" si="177"/>
        <v>-54.920579165439676</v>
      </c>
      <c r="AF180" s="51" t="e">
        <f t="shared" si="178"/>
        <v>#NUM!</v>
      </c>
      <c r="AG180" s="51" t="str">
        <f t="shared" si="160"/>
        <v>1-1.96445068892538i</v>
      </c>
      <c r="AH180" s="51">
        <f t="shared" si="179"/>
        <v>2.2043290383287606</v>
      </c>
      <c r="AI180" s="51">
        <f t="shared" si="180"/>
        <v>-1.0999364219992855</v>
      </c>
      <c r="AJ180" s="51" t="str">
        <f t="shared" si="161"/>
        <v>1+0.00261926758523383i</v>
      </c>
      <c r="AK180" s="51">
        <f t="shared" si="181"/>
        <v>1.0000034302754581</v>
      </c>
      <c r="AL180" s="51">
        <f t="shared" si="182"/>
        <v>2.6192615953753353E-3</v>
      </c>
      <c r="AM180" s="51" t="e">
        <f t="shared" si="162"/>
        <v>#NUM!</v>
      </c>
      <c r="AN180" s="51" t="e">
        <f t="shared" si="183"/>
        <v>#NUM!</v>
      </c>
      <c r="AO180" s="51" t="e">
        <f t="shared" si="184"/>
        <v>#NUM!</v>
      </c>
      <c r="AP180" s="60" t="e">
        <f t="shared" si="185"/>
        <v>#NUM!</v>
      </c>
      <c r="AQ180" s="51" t="e">
        <f t="shared" si="186"/>
        <v>#NUM!</v>
      </c>
      <c r="AR180" s="63" t="e">
        <f t="shared" si="187"/>
        <v>#NUM!</v>
      </c>
      <c r="AS180" s="32" t="str">
        <f t="shared" si="163"/>
        <v>-0.000170731707317073</v>
      </c>
      <c r="AT180" s="32" t="str">
        <f t="shared" si="164"/>
        <v>0.0000995321682388854i</v>
      </c>
      <c r="AU180" s="32">
        <f t="shared" si="188"/>
        <v>9.9532168238885397E-5</v>
      </c>
      <c r="AV180" s="32">
        <f t="shared" si="189"/>
        <v>1.5707963267948966</v>
      </c>
      <c r="AW180" s="32" t="str">
        <f t="shared" si="165"/>
        <v>1+0.0211912533264286i</v>
      </c>
      <c r="AX180" s="32">
        <f t="shared" si="190"/>
        <v>1.0002245094065356</v>
      </c>
      <c r="AY180" s="32">
        <f t="shared" si="191"/>
        <v>2.1188082067670207E-2</v>
      </c>
      <c r="AZ180" s="32" t="str">
        <f t="shared" si="166"/>
        <v>1+0.402633813202144i</v>
      </c>
      <c r="BA180" s="32">
        <f t="shared" si="192"/>
        <v>1.0780139087849001</v>
      </c>
      <c r="BB180" s="32">
        <f t="shared" si="193"/>
        <v>0.3827748415948255</v>
      </c>
      <c r="BC180" s="60" t="str">
        <f t="shared" si="194"/>
        <v>-0.654010742796731+1.72920129513021i</v>
      </c>
      <c r="BD180" s="51">
        <f t="shared" si="195"/>
        <v>5.3375518064304792</v>
      </c>
      <c r="BE180" s="63">
        <f t="shared" si="196"/>
        <v>110.71739524871784</v>
      </c>
      <c r="BF180" s="60" t="str">
        <f t="shared" si="197"/>
        <v>14.0554984289554+20.6795658805965i</v>
      </c>
      <c r="BG180" s="66">
        <f t="shared" si="198"/>
        <v>27.960199981878205</v>
      </c>
      <c r="BH180" s="63">
        <f t="shared" si="199"/>
        <v>55.796816083278159</v>
      </c>
      <c r="BI180" s="60" t="e">
        <f t="shared" si="203"/>
        <v>#NUM!</v>
      </c>
      <c r="BJ180" s="66" t="e">
        <f t="shared" si="200"/>
        <v>#NUM!</v>
      </c>
      <c r="BK180" s="63" t="e">
        <f t="shared" si="204"/>
        <v>#NUM!</v>
      </c>
      <c r="BL180" s="51">
        <f t="shared" si="201"/>
        <v>27.960199981878205</v>
      </c>
      <c r="BM180" s="63">
        <f t="shared" si="202"/>
        <v>55.796816083278159</v>
      </c>
    </row>
    <row r="181" spans="14:65" x14ac:dyDescent="0.3">
      <c r="N181" s="11">
        <v>63</v>
      </c>
      <c r="O181" s="52">
        <f t="shared" si="154"/>
        <v>426.57951880159294</v>
      </c>
      <c r="P181" s="50" t="str">
        <f t="shared" si="155"/>
        <v>23.3035714285714</v>
      </c>
      <c r="Q181" s="18" t="str">
        <f t="shared" si="156"/>
        <v>1+1.43586330261316i</v>
      </c>
      <c r="R181" s="18">
        <f t="shared" si="167"/>
        <v>1.7497723919959336</v>
      </c>
      <c r="S181" s="18">
        <f t="shared" si="168"/>
        <v>0.96246016989278194</v>
      </c>
      <c r="T181" s="18" t="str">
        <f t="shared" si="157"/>
        <v>1+0.00268027816487791i</v>
      </c>
      <c r="U181" s="18">
        <f t="shared" si="169"/>
        <v>1.0000035919390695</v>
      </c>
      <c r="V181" s="18">
        <f t="shared" si="170"/>
        <v>2.6802717466301424E-3</v>
      </c>
      <c r="W181" s="32" t="str">
        <f t="shared" si="158"/>
        <v>1-0.00655179106970156i</v>
      </c>
      <c r="X181" s="18">
        <f t="shared" si="171"/>
        <v>1.0000214627527857</v>
      </c>
      <c r="Y181" s="18">
        <f t="shared" si="172"/>
        <v>-6.5516973247952874E-3</v>
      </c>
      <c r="Z181" s="32" t="str">
        <f t="shared" si="159"/>
        <v>0.999999272119657+0.00321559672135815i</v>
      </c>
      <c r="AA181" s="18">
        <f t="shared" si="173"/>
        <v>1.0000044421411929</v>
      </c>
      <c r="AB181" s="18">
        <f t="shared" si="174"/>
        <v>3.215587978817274E-3</v>
      </c>
      <c r="AC181" s="68" t="str">
        <f t="shared" si="175"/>
        <v>7.53382144175751-10.9826924850048i</v>
      </c>
      <c r="AD181" s="66">
        <f t="shared" si="176"/>
        <v>22.488997531193906</v>
      </c>
      <c r="AE181" s="63">
        <f t="shared" si="177"/>
        <v>-55.550961650467677</v>
      </c>
      <c r="AF181" s="51" t="e">
        <f t="shared" si="178"/>
        <v>#NUM!</v>
      </c>
      <c r="AG181" s="51" t="str">
        <f t="shared" si="160"/>
        <v>1-2.01020862365844i</v>
      </c>
      <c r="AH181" s="51">
        <f t="shared" si="179"/>
        <v>2.2452034898046009</v>
      </c>
      <c r="AI181" s="51">
        <f t="shared" si="180"/>
        <v>-1.1091821363498324</v>
      </c>
      <c r="AJ181" s="51" t="str">
        <f t="shared" si="161"/>
        <v>1+0.00268027816487791i</v>
      </c>
      <c r="AK181" s="51">
        <f t="shared" si="181"/>
        <v>1.0000035919390695</v>
      </c>
      <c r="AL181" s="51">
        <f t="shared" si="182"/>
        <v>2.6802717466301424E-3</v>
      </c>
      <c r="AM181" s="51" t="e">
        <f t="shared" si="162"/>
        <v>#NUM!</v>
      </c>
      <c r="AN181" s="51" t="e">
        <f t="shared" si="183"/>
        <v>#NUM!</v>
      </c>
      <c r="AO181" s="51" t="e">
        <f t="shared" si="184"/>
        <v>#NUM!</v>
      </c>
      <c r="AP181" s="60" t="e">
        <f t="shared" si="185"/>
        <v>#NUM!</v>
      </c>
      <c r="AQ181" s="51" t="e">
        <f t="shared" si="186"/>
        <v>#NUM!</v>
      </c>
      <c r="AR181" s="63" t="e">
        <f t="shared" si="187"/>
        <v>#NUM!</v>
      </c>
      <c r="AS181" s="32" t="str">
        <f t="shared" si="163"/>
        <v>-0.000170731707317073</v>
      </c>
      <c r="AT181" s="32" t="str">
        <f t="shared" si="164"/>
        <v>0.00010185057026536i</v>
      </c>
      <c r="AU181" s="32">
        <f t="shared" si="188"/>
        <v>1.0185057026535999E-4</v>
      </c>
      <c r="AV181" s="32">
        <f t="shared" si="189"/>
        <v>1.5707963267948966</v>
      </c>
      <c r="AW181" s="32" t="str">
        <f t="shared" si="165"/>
        <v>1+0.0216848610265806i</v>
      </c>
      <c r="AX181" s="32">
        <f t="shared" si="190"/>
        <v>1.0002350889654603</v>
      </c>
      <c r="AY181" s="32">
        <f t="shared" si="191"/>
        <v>2.1681463004732324E-2</v>
      </c>
      <c r="AZ181" s="32" t="str">
        <f t="shared" si="166"/>
        <v>1+0.412012359505033i</v>
      </c>
      <c r="BA181" s="32">
        <f t="shared" si="192"/>
        <v>1.0815517483620025</v>
      </c>
      <c r="BB181" s="32">
        <f t="shared" si="193"/>
        <v>0.3908187764076177</v>
      </c>
      <c r="BC181" s="60" t="str">
        <f t="shared" si="194"/>
        <v>-0.653996907831985+1.69047786920601i</v>
      </c>
      <c r="BD181" s="51">
        <f t="shared" si="195"/>
        <v>5.16591872359625</v>
      </c>
      <c r="BE181" s="63">
        <f t="shared" si="196"/>
        <v>111.15001011878331</v>
      </c>
      <c r="BF181" s="60" t="str">
        <f t="shared" si="197"/>
        <v>13.6389026631281+19.9184053427035i</v>
      </c>
      <c r="BG181" s="66">
        <f t="shared" si="198"/>
        <v>27.654916254790159</v>
      </c>
      <c r="BH181" s="63">
        <f t="shared" si="199"/>
        <v>55.599048468315559</v>
      </c>
      <c r="BI181" s="60" t="e">
        <f t="shared" si="203"/>
        <v>#NUM!</v>
      </c>
      <c r="BJ181" s="66" t="e">
        <f t="shared" si="200"/>
        <v>#NUM!</v>
      </c>
      <c r="BK181" s="63" t="e">
        <f t="shared" si="204"/>
        <v>#NUM!</v>
      </c>
      <c r="BL181" s="51">
        <f t="shared" si="201"/>
        <v>27.654916254790159</v>
      </c>
      <c r="BM181" s="63">
        <f t="shared" si="202"/>
        <v>55.599048468315559</v>
      </c>
    </row>
    <row r="182" spans="14:65" x14ac:dyDescent="0.3">
      <c r="N182" s="11">
        <v>64</v>
      </c>
      <c r="O182" s="52">
        <f t="shared" si="154"/>
        <v>436.51583224016622</v>
      </c>
      <c r="P182" s="50" t="str">
        <f t="shared" si="155"/>
        <v>23.3035714285714</v>
      </c>
      <c r="Q182" s="18" t="str">
        <f t="shared" si="156"/>
        <v>1+1.46930885543715i</v>
      </c>
      <c r="R182" s="18">
        <f t="shared" si="167"/>
        <v>1.7773205992915371</v>
      </c>
      <c r="S182" s="18">
        <f t="shared" si="168"/>
        <v>0.97321489753449009</v>
      </c>
      <c r="T182" s="18" t="str">
        <f t="shared" si="157"/>
        <v>1+0.00274270986348268i</v>
      </c>
      <c r="U182" s="18">
        <f t="shared" si="169"/>
        <v>1.0000037612216242</v>
      </c>
      <c r="V182" s="18">
        <f t="shared" si="170"/>
        <v>2.7427029862076885E-3</v>
      </c>
      <c r="W182" s="32" t="str">
        <f t="shared" si="158"/>
        <v>1-0.00670440188851322i</v>
      </c>
      <c r="X182" s="18">
        <f t="shared" si="171"/>
        <v>1.0000224742497954</v>
      </c>
      <c r="Y182" s="18">
        <f t="shared" si="172"/>
        <v>-6.7043014391583045E-3</v>
      </c>
      <c r="Z182" s="32" t="str">
        <f t="shared" si="159"/>
        <v>0.999999237815713+0.00329049759096676i</v>
      </c>
      <c r="AA182" s="18">
        <f t="shared" si="173"/>
        <v>1.0000046514923833</v>
      </c>
      <c r="AB182" s="18">
        <f t="shared" si="174"/>
        <v>3.2904882231677714E-3</v>
      </c>
      <c r="AC182" s="68" t="str">
        <f t="shared" si="175"/>
        <v>7.298545613842-10.8928193883859i</v>
      </c>
      <c r="AD182" s="66">
        <f t="shared" si="176"/>
        <v>22.353321678744457</v>
      </c>
      <c r="AE182" s="63">
        <f t="shared" si="177"/>
        <v>-56.176620147187776</v>
      </c>
      <c r="AF182" s="51" t="e">
        <f t="shared" si="178"/>
        <v>#NUM!</v>
      </c>
      <c r="AG182" s="51" t="str">
        <f t="shared" si="160"/>
        <v>1-2.05703239761201i</v>
      </c>
      <c r="AH182" s="51">
        <f t="shared" si="179"/>
        <v>2.2872215207157822</v>
      </c>
      <c r="AI182" s="51">
        <f t="shared" si="180"/>
        <v>-1.1183003233613236</v>
      </c>
      <c r="AJ182" s="51" t="str">
        <f t="shared" si="161"/>
        <v>1+0.00274270986348268i</v>
      </c>
      <c r="AK182" s="51">
        <f t="shared" si="181"/>
        <v>1.0000037612216242</v>
      </c>
      <c r="AL182" s="51">
        <f t="shared" si="182"/>
        <v>2.7427029862076885E-3</v>
      </c>
      <c r="AM182" s="51" t="e">
        <f t="shared" si="162"/>
        <v>#NUM!</v>
      </c>
      <c r="AN182" s="51" t="e">
        <f t="shared" si="183"/>
        <v>#NUM!</v>
      </c>
      <c r="AO182" s="51" t="e">
        <f t="shared" si="184"/>
        <v>#NUM!</v>
      </c>
      <c r="AP182" s="60" t="e">
        <f t="shared" si="185"/>
        <v>#NUM!</v>
      </c>
      <c r="AQ182" s="51" t="e">
        <f t="shared" si="186"/>
        <v>#NUM!</v>
      </c>
      <c r="AR182" s="63" t="e">
        <f t="shared" si="187"/>
        <v>#NUM!</v>
      </c>
      <c r="AS182" s="32" t="str">
        <f t="shared" si="163"/>
        <v>-0.000170731707317073</v>
      </c>
      <c r="AT182" s="32" t="str">
        <f t="shared" si="164"/>
        <v>0.000104222974812342i</v>
      </c>
      <c r="AU182" s="32">
        <f t="shared" si="188"/>
        <v>1.0422297481234201E-4</v>
      </c>
      <c r="AV182" s="32">
        <f t="shared" si="189"/>
        <v>1.5707963267948966</v>
      </c>
      <c r="AW182" s="32" t="str">
        <f t="shared" si="165"/>
        <v>1+0.0221899663270819i</v>
      </c>
      <c r="AX182" s="32">
        <f t="shared" si="190"/>
        <v>1.0002461670037017</v>
      </c>
      <c r="AY182" s="32">
        <f t="shared" si="191"/>
        <v>2.2186325329466655E-2</v>
      </c>
      <c r="AZ182" s="32" t="str">
        <f t="shared" si="166"/>
        <v>1+0.421609360214558i</v>
      </c>
      <c r="BA182" s="32">
        <f t="shared" si="192"/>
        <v>1.0852439599557921</v>
      </c>
      <c r="BB182" s="32">
        <f t="shared" si="193"/>
        <v>0.3989952433441592</v>
      </c>
      <c r="BC182" s="60" t="str">
        <f t="shared" si="194"/>
        <v>-0.653982421472775+1.65265072875259i</v>
      </c>
      <c r="BD182" s="51">
        <f t="shared" si="195"/>
        <v>4.9954239981751085</v>
      </c>
      <c r="BE182" s="63">
        <f t="shared" si="196"/>
        <v>111.58956068513297</v>
      </c>
      <c r="BF182" s="60" t="str">
        <f t="shared" si="197"/>
        <v>13.2289053666164+19.1856591278322i</v>
      </c>
      <c r="BG182" s="66">
        <f t="shared" si="198"/>
        <v>27.348745676919563</v>
      </c>
      <c r="BH182" s="63">
        <f t="shared" si="199"/>
        <v>55.412940537945204</v>
      </c>
      <c r="BI182" s="60" t="e">
        <f t="shared" si="203"/>
        <v>#NUM!</v>
      </c>
      <c r="BJ182" s="66" t="e">
        <f t="shared" si="200"/>
        <v>#NUM!</v>
      </c>
      <c r="BK182" s="63" t="e">
        <f t="shared" si="204"/>
        <v>#NUM!</v>
      </c>
      <c r="BL182" s="51">
        <f t="shared" si="201"/>
        <v>27.348745676919563</v>
      </c>
      <c r="BM182" s="63">
        <f t="shared" si="202"/>
        <v>55.412940537945204</v>
      </c>
    </row>
    <row r="183" spans="14:65" x14ac:dyDescent="0.3">
      <c r="N183" s="11">
        <v>65</v>
      </c>
      <c r="O183" s="52">
        <f t="shared" si="154"/>
        <v>446.68359215096331</v>
      </c>
      <c r="P183" s="50" t="str">
        <f t="shared" si="155"/>
        <v>23.3035714285714</v>
      </c>
      <c r="Q183" s="18" t="str">
        <f t="shared" si="156"/>
        <v>1+1.50353345526489i</v>
      </c>
      <c r="R183" s="18">
        <f t="shared" si="167"/>
        <v>1.8057167139672763</v>
      </c>
      <c r="S183" s="18">
        <f t="shared" si="168"/>
        <v>0.98387916965124456</v>
      </c>
      <c r="T183" s="18" t="str">
        <f t="shared" si="157"/>
        <v>1+0.00280659578316113i</v>
      </c>
      <c r="U183" s="18">
        <f t="shared" si="169"/>
        <v>1.0000039384821893</v>
      </c>
      <c r="V183" s="18">
        <f t="shared" si="170"/>
        <v>2.8065884140297767E-3</v>
      </c>
      <c r="W183" s="32" t="str">
        <f t="shared" si="158"/>
        <v>1-0.00686056746994943i</v>
      </c>
      <c r="X183" s="18">
        <f t="shared" si="171"/>
        <v>1.0000235334160941</v>
      </c>
      <c r="Y183" s="18">
        <f t="shared" si="172"/>
        <v>-6.8604598366632389E-3</v>
      </c>
      <c r="Z183" s="32" t="str">
        <f t="shared" si="159"/>
        <v>0.999999201895074+0.00336714312595299i</v>
      </c>
      <c r="AA183" s="18">
        <f t="shared" si="173"/>
        <v>1.0000048707099458</v>
      </c>
      <c r="AB183" s="18">
        <f t="shared" si="174"/>
        <v>3.3671330881781484E-3</v>
      </c>
      <c r="AC183" s="68" t="str">
        <f t="shared" si="175"/>
        <v>7.06721069439167-10.7987259443346i</v>
      </c>
      <c r="AD183" s="66">
        <f t="shared" si="176"/>
        <v>22.215653643345632</v>
      </c>
      <c r="AE183" s="63">
        <f t="shared" si="177"/>
        <v>-56.79731621006939</v>
      </c>
      <c r="AF183" s="51" t="e">
        <f t="shared" si="178"/>
        <v>#NUM!</v>
      </c>
      <c r="AG183" s="51" t="str">
        <f t="shared" si="160"/>
        <v>1-2.10494683737085i</v>
      </c>
      <c r="AH183" s="51">
        <f t="shared" si="179"/>
        <v>2.3304079445791337</v>
      </c>
      <c r="AI183" s="51">
        <f t="shared" si="180"/>
        <v>-1.1272897518694265</v>
      </c>
      <c r="AJ183" s="51" t="str">
        <f t="shared" si="161"/>
        <v>1+0.00280659578316113i</v>
      </c>
      <c r="AK183" s="51">
        <f t="shared" si="181"/>
        <v>1.0000039384821893</v>
      </c>
      <c r="AL183" s="51">
        <f t="shared" si="182"/>
        <v>2.8065884140297767E-3</v>
      </c>
      <c r="AM183" s="51" t="e">
        <f t="shared" si="162"/>
        <v>#NUM!</v>
      </c>
      <c r="AN183" s="51" t="e">
        <f t="shared" si="183"/>
        <v>#NUM!</v>
      </c>
      <c r="AO183" s="51" t="e">
        <f t="shared" si="184"/>
        <v>#NUM!</v>
      </c>
      <c r="AP183" s="60" t="e">
        <f t="shared" si="185"/>
        <v>#NUM!</v>
      </c>
      <c r="AQ183" s="51" t="e">
        <f t="shared" si="186"/>
        <v>#NUM!</v>
      </c>
      <c r="AR183" s="63" t="e">
        <f t="shared" si="187"/>
        <v>#NUM!</v>
      </c>
      <c r="AS183" s="32" t="str">
        <f t="shared" si="163"/>
        <v>-0.000170731707317073</v>
      </c>
      <c r="AT183" s="32" t="str">
        <f t="shared" si="164"/>
        <v>0.000106650639760123i</v>
      </c>
      <c r="AU183" s="32">
        <f t="shared" si="188"/>
        <v>1.06650639760123E-4</v>
      </c>
      <c r="AV183" s="32">
        <f t="shared" si="189"/>
        <v>1.5707963267948966</v>
      </c>
      <c r="AW183" s="32" t="str">
        <f t="shared" si="165"/>
        <v>1+0.0227068370414489i</v>
      </c>
      <c r="AX183" s="32">
        <f t="shared" si="190"/>
        <v>1.0002577670022998</v>
      </c>
      <c r="AY183" s="32">
        <f t="shared" si="191"/>
        <v>2.2702935696511942E-2</v>
      </c>
      <c r="AZ183" s="32" t="str">
        <f t="shared" si="166"/>
        <v>1+0.431429903787529i</v>
      </c>
      <c r="BA183" s="32">
        <f t="shared" si="192"/>
        <v>1.0890967642418723</v>
      </c>
      <c r="BB183" s="32">
        <f t="shared" si="193"/>
        <v>0.40730420354955438</v>
      </c>
      <c r="BC183" s="60" t="str">
        <f t="shared" si="194"/>
        <v>-0.653967253080319+1.61569981529946i</v>
      </c>
      <c r="BD183" s="51">
        <f t="shared" si="195"/>
        <v>4.826105073869444</v>
      </c>
      <c r="BE183" s="63">
        <f t="shared" si="196"/>
        <v>112.03602944335978</v>
      </c>
      <c r="BF183" s="60" t="str">
        <f t="shared" si="197"/>
        <v>12.8257751489797+18.4805041561947i</v>
      </c>
      <c r="BG183" s="66">
        <f t="shared" si="198"/>
        <v>27.041758717215082</v>
      </c>
      <c r="BH183" s="63">
        <f t="shared" si="199"/>
        <v>55.238713233290511</v>
      </c>
      <c r="BI183" s="60" t="e">
        <f t="shared" si="203"/>
        <v>#NUM!</v>
      </c>
      <c r="BJ183" s="66" t="e">
        <f t="shared" si="200"/>
        <v>#NUM!</v>
      </c>
      <c r="BK183" s="63" t="e">
        <f t="shared" si="204"/>
        <v>#NUM!</v>
      </c>
      <c r="BL183" s="51">
        <f t="shared" si="201"/>
        <v>27.041758717215082</v>
      </c>
      <c r="BM183" s="63">
        <f t="shared" si="202"/>
        <v>55.238713233290511</v>
      </c>
    </row>
    <row r="184" spans="14:65" x14ac:dyDescent="0.3">
      <c r="N184" s="11">
        <v>66</v>
      </c>
      <c r="O184" s="52">
        <f t="shared" ref="O184:O218" si="205">10^(2+(N184/100))</f>
        <v>457.0881896148756</v>
      </c>
      <c r="P184" s="50" t="str">
        <f t="shared" si="155"/>
        <v>23.3035714285714</v>
      </c>
      <c r="Q184" s="18" t="str">
        <f t="shared" si="156"/>
        <v>1+1.53855524843223i</v>
      </c>
      <c r="R184" s="18">
        <f t="shared" si="167"/>
        <v>1.8349801776799555</v>
      </c>
      <c r="S184" s="18">
        <f t="shared" si="168"/>
        <v>0.99444893802608869</v>
      </c>
      <c r="T184" s="18" t="str">
        <f t="shared" si="157"/>
        <v>1+0.0028719697970735i</v>
      </c>
      <c r="U184" s="18">
        <f t="shared" si="169"/>
        <v>1.0000041240967534</v>
      </c>
      <c r="V184" s="18">
        <f t="shared" si="170"/>
        <v>2.8719619009087509E-3</v>
      </c>
      <c r="W184" s="32" t="str">
        <f t="shared" si="158"/>
        <v>1-0.00702037061506856i</v>
      </c>
      <c r="X184" s="18">
        <f t="shared" si="171"/>
        <v>1.00002464249816</v>
      </c>
      <c r="Y184" s="18">
        <f t="shared" si="172"/>
        <v>-7.0202552840780124E-3</v>
      </c>
      <c r="Z184" s="32" t="str">
        <f t="shared" si="159"/>
        <v>0.999999164281548+0.003445573964794i</v>
      </c>
      <c r="AA184" s="18">
        <f t="shared" si="173"/>
        <v>1.0000051002588641</v>
      </c>
      <c r="AB184" s="18">
        <f t="shared" si="174"/>
        <v>3.445563209127415E-3</v>
      </c>
      <c r="AC184" s="68" t="str">
        <f t="shared" si="175"/>
        <v>6.83995750501138-10.7006189851356i</v>
      </c>
      <c r="AD184" s="66">
        <f t="shared" si="176"/>
        <v>22.076027710748356</v>
      </c>
      <c r="AE184" s="63">
        <f t="shared" si="177"/>
        <v>-57.412823023127679</v>
      </c>
      <c r="AF184" s="51" t="e">
        <f t="shared" si="178"/>
        <v>#NUM!</v>
      </c>
      <c r="AG184" s="51" t="str">
        <f t="shared" si="160"/>
        <v>1-2.15397734780513i</v>
      </c>
      <c r="AH184" s="51">
        <f t="shared" si="179"/>
        <v>2.3747880778835029</v>
      </c>
      <c r="AI184" s="51">
        <f t="shared" si="180"/>
        <v>-1.1361493757255008</v>
      </c>
      <c r="AJ184" s="51" t="str">
        <f t="shared" si="161"/>
        <v>1+0.0028719697970735i</v>
      </c>
      <c r="AK184" s="51">
        <f t="shared" si="181"/>
        <v>1.0000041240967534</v>
      </c>
      <c r="AL184" s="51">
        <f t="shared" si="182"/>
        <v>2.8719619009087509E-3</v>
      </c>
      <c r="AM184" s="51" t="e">
        <f t="shared" si="162"/>
        <v>#NUM!</v>
      </c>
      <c r="AN184" s="51" t="e">
        <f t="shared" si="183"/>
        <v>#NUM!</v>
      </c>
      <c r="AO184" s="51" t="e">
        <f t="shared" si="184"/>
        <v>#NUM!</v>
      </c>
      <c r="AP184" s="60" t="e">
        <f t="shared" si="185"/>
        <v>#NUM!</v>
      </c>
      <c r="AQ184" s="51" t="e">
        <f t="shared" si="186"/>
        <v>#NUM!</v>
      </c>
      <c r="AR184" s="63" t="e">
        <f t="shared" si="187"/>
        <v>#NUM!</v>
      </c>
      <c r="AS184" s="32" t="str">
        <f t="shared" si="163"/>
        <v>-0.000170731707317073</v>
      </c>
      <c r="AT184" s="32" t="str">
        <f t="shared" si="164"/>
        <v>0.000109134852288793i</v>
      </c>
      <c r="AU184" s="32">
        <f t="shared" si="188"/>
        <v>1.09134852288793E-4</v>
      </c>
      <c r="AV184" s="32">
        <f t="shared" si="189"/>
        <v>1.5707963267948966</v>
      </c>
      <c r="AW184" s="32" t="str">
        <f t="shared" si="165"/>
        <v>1+0.0232357472213757i</v>
      </c>
      <c r="AX184" s="32">
        <f t="shared" si="190"/>
        <v>1.0002699135478061</v>
      </c>
      <c r="AY184" s="32">
        <f t="shared" si="191"/>
        <v>2.3231566915880766E-2</v>
      </c>
      <c r="AZ184" s="32" t="str">
        <f t="shared" si="166"/>
        <v>1+0.441479197206139i</v>
      </c>
      <c r="BA184" s="32">
        <f t="shared" si="192"/>
        <v>1.0931165910211851</v>
      </c>
      <c r="BB184" s="32">
        <f t="shared" si="193"/>
        <v>0.41574547236657899</v>
      </c>
      <c r="BC184" s="60" t="str">
        <f t="shared" si="194"/>
        <v>-0.653951370577683+1.57960553481901i</v>
      </c>
      <c r="BD184" s="51">
        <f t="shared" si="195"/>
        <v>4.6579999625250919</v>
      </c>
      <c r="BE184" s="63">
        <f t="shared" si="196"/>
        <v>112.48939018252199</v>
      </c>
      <c r="BF184" s="60" t="str">
        <f t="shared" si="197"/>
        <v>12.4297573898143+17.8021191842018i</v>
      </c>
      <c r="BG184" s="66">
        <f t="shared" si="198"/>
        <v>26.734027673273456</v>
      </c>
      <c r="BH184" s="63">
        <f t="shared" si="199"/>
        <v>55.07656715939423</v>
      </c>
      <c r="BI184" s="60" t="e">
        <f t="shared" si="203"/>
        <v>#NUM!</v>
      </c>
      <c r="BJ184" s="66" t="e">
        <f t="shared" si="200"/>
        <v>#NUM!</v>
      </c>
      <c r="BK184" s="63" t="e">
        <f t="shared" si="204"/>
        <v>#NUM!</v>
      </c>
      <c r="BL184" s="51">
        <f t="shared" si="201"/>
        <v>26.734027673273456</v>
      </c>
      <c r="BM184" s="63">
        <f t="shared" si="202"/>
        <v>55.07656715939423</v>
      </c>
    </row>
    <row r="185" spans="14:65" x14ac:dyDescent="0.3">
      <c r="N185" s="11">
        <v>67</v>
      </c>
      <c r="O185" s="52">
        <f t="shared" si="205"/>
        <v>467.7351412871983</v>
      </c>
      <c r="P185" s="50" t="str">
        <f t="shared" si="155"/>
        <v>23.3035714285714</v>
      </c>
      <c r="Q185" s="18" t="str">
        <f t="shared" si="156"/>
        <v>1+1.57439280395747i</v>
      </c>
      <c r="R185" s="18">
        <f t="shared" si="167"/>
        <v>1.8651307463963658</v>
      </c>
      <c r="S185" s="18">
        <f t="shared" si="168"/>
        <v>1.0049203599049477</v>
      </c>
      <c r="T185" s="18" t="str">
        <f t="shared" si="157"/>
        <v>1+0.00293886656738729i</v>
      </c>
      <c r="U185" s="18">
        <f t="shared" si="169"/>
        <v>1.0000043184590259</v>
      </c>
      <c r="V185" s="18">
        <f t="shared" si="170"/>
        <v>2.9388581064962974E-3</v>
      </c>
      <c r="W185" s="32" t="str">
        <f t="shared" si="158"/>
        <v>1-0.00718389605361338i</v>
      </c>
      <c r="X185" s="18">
        <f t="shared" si="171"/>
        <v>1.0000258038483352</v>
      </c>
      <c r="Y185" s="18">
        <f t="shared" si="172"/>
        <v>-7.1837724744027356E-3</v>
      </c>
      <c r="Z185" s="32" t="str">
        <f t="shared" si="159"/>
        <v>0.99999912489535+0.00352583169255872i</v>
      </c>
      <c r="AA185" s="18">
        <f t="shared" si="173"/>
        <v>1.0000053406260341</v>
      </c>
      <c r="AB185" s="18">
        <f t="shared" si="174"/>
        <v>3.5258201676576363E-3</v>
      </c>
      <c r="AC185" s="68" t="str">
        <f t="shared" si="175"/>
        <v>6.61691344641013-10.5987094468507i</v>
      </c>
      <c r="AD185" s="66">
        <f t="shared" si="176"/>
        <v>21.934479312957524</v>
      </c>
      <c r="AE185" s="63">
        <f t="shared" si="177"/>
        <v>-58.022925661925733</v>
      </c>
      <c r="AF185" s="51" t="e">
        <f t="shared" si="178"/>
        <v>#NUM!</v>
      </c>
      <c r="AG185" s="51" t="str">
        <f t="shared" si="160"/>
        <v>1-2.20414992554047i</v>
      </c>
      <c r="AH185" s="51">
        <f t="shared" si="179"/>
        <v>2.4203877570050758</v>
      </c>
      <c r="AI185" s="51">
        <f t="shared" si="180"/>
        <v>-1.1448783280646846</v>
      </c>
      <c r="AJ185" s="51" t="str">
        <f t="shared" si="161"/>
        <v>1+0.00293886656738729i</v>
      </c>
      <c r="AK185" s="51">
        <f t="shared" si="181"/>
        <v>1.0000043184590259</v>
      </c>
      <c r="AL185" s="51">
        <f t="shared" si="182"/>
        <v>2.9388581064962974E-3</v>
      </c>
      <c r="AM185" s="51" t="e">
        <f t="shared" si="162"/>
        <v>#NUM!</v>
      </c>
      <c r="AN185" s="51" t="e">
        <f t="shared" si="183"/>
        <v>#NUM!</v>
      </c>
      <c r="AO185" s="51" t="e">
        <f t="shared" si="184"/>
        <v>#NUM!</v>
      </c>
      <c r="AP185" s="60" t="e">
        <f t="shared" si="185"/>
        <v>#NUM!</v>
      </c>
      <c r="AQ185" s="51" t="e">
        <f t="shared" si="186"/>
        <v>#NUM!</v>
      </c>
      <c r="AR185" s="63" t="e">
        <f t="shared" si="187"/>
        <v>#NUM!</v>
      </c>
      <c r="AS185" s="32" t="str">
        <f t="shared" si="163"/>
        <v>-0.000170731707317073</v>
      </c>
      <c r="AT185" s="32" t="str">
        <f t="shared" si="164"/>
        <v>0.000111676929560717i</v>
      </c>
      <c r="AU185" s="32">
        <f t="shared" si="188"/>
        <v>1.1167692956071699E-4</v>
      </c>
      <c r="AV185" s="32">
        <f t="shared" si="189"/>
        <v>1.5707963267948966</v>
      </c>
      <c r="AW185" s="32" t="str">
        <f t="shared" si="165"/>
        <v>1+0.0237769773020407i</v>
      </c>
      <c r="AX185" s="32">
        <f t="shared" si="190"/>
        <v>1.0002826323842786</v>
      </c>
      <c r="AY185" s="32">
        <f t="shared" si="191"/>
        <v>2.3772498092353603E-2</v>
      </c>
      <c r="AZ185" s="32" t="str">
        <f t="shared" si="166"/>
        <v>1+0.451762568738774i</v>
      </c>
      <c r="BA185" s="32">
        <f t="shared" si="192"/>
        <v>1.0973100831184663</v>
      </c>
      <c r="BB185" s="32">
        <f t="shared" si="193"/>
        <v>0.42431871255634496</v>
      </c>
      <c r="BC185" s="60" t="str">
        <f t="shared" si="194"/>
        <v>-0.653934740382587+1.5443487473273i</v>
      </c>
      <c r="BD185" s="51">
        <f t="shared" si="195"/>
        <v>4.4911471980430164</v>
      </c>
      <c r="BE185" s="63">
        <f t="shared" si="196"/>
        <v>112.94960758872861</v>
      </c>
      <c r="BF185" s="60" t="str">
        <f t="shared" si="197"/>
        <v>12.0410740808176+17.1496863026534i</v>
      </c>
      <c r="BG185" s="66">
        <f t="shared" si="198"/>
        <v>26.425626511000516</v>
      </c>
      <c r="BH185" s="63">
        <f t="shared" si="199"/>
        <v>54.926681926802914</v>
      </c>
      <c r="BI185" s="60" t="e">
        <f t="shared" si="203"/>
        <v>#NUM!</v>
      </c>
      <c r="BJ185" s="66" t="e">
        <f t="shared" si="200"/>
        <v>#NUM!</v>
      </c>
      <c r="BK185" s="63" t="e">
        <f t="shared" si="204"/>
        <v>#NUM!</v>
      </c>
      <c r="BL185" s="51">
        <f t="shared" si="201"/>
        <v>26.425626511000516</v>
      </c>
      <c r="BM185" s="63">
        <f t="shared" si="202"/>
        <v>54.926681926802914</v>
      </c>
    </row>
    <row r="186" spans="14:65" x14ac:dyDescent="0.3">
      <c r="N186" s="11">
        <v>68</v>
      </c>
      <c r="O186" s="52">
        <f t="shared" si="205"/>
        <v>478.63009232263886</v>
      </c>
      <c r="P186" s="50" t="str">
        <f t="shared" si="155"/>
        <v>23.3035714285714</v>
      </c>
      <c r="Q186" s="18" t="str">
        <f t="shared" si="156"/>
        <v>1+1.61106512338693i</v>
      </c>
      <c r="R186" s="18">
        <f t="shared" si="167"/>
        <v>1.8961885011236999</v>
      </c>
      <c r="S186" s="18">
        <f t="shared" si="168"/>
        <v>1.0152898015468079</v>
      </c>
      <c r="T186" s="18" t="str">
        <f t="shared" si="157"/>
        <v>1+0.00300732156365561i</v>
      </c>
      <c r="U186" s="18">
        <f t="shared" si="169"/>
        <v>1.0000045219812694</v>
      </c>
      <c r="V186" s="18">
        <f t="shared" si="170"/>
        <v>3.0073124976497858E-3</v>
      </c>
      <c r="W186" s="32" t="str">
        <f t="shared" si="158"/>
        <v>1-0.00735123048893594i</v>
      </c>
      <c r="X186" s="18">
        <f t="shared" si="171"/>
        <v>1.0000270199298125</v>
      </c>
      <c r="Y186" s="18">
        <f t="shared" si="172"/>
        <v>-7.3510980716192413E-3</v>
      </c>
      <c r="Z186" s="32" t="str">
        <f t="shared" si="159"/>
        <v>0.999999083652939+0.00360795886295673i</v>
      </c>
      <c r="AA186" s="18">
        <f t="shared" si="173"/>
        <v>1.0000055923213003</v>
      </c>
      <c r="AB186" s="18">
        <f t="shared" si="174"/>
        <v>3.6079465138064287E-3</v>
      </c>
      <c r="AC186" s="68" t="str">
        <f t="shared" si="175"/>
        <v>6.39819249058012-10.4932113866918i</v>
      </c>
      <c r="AD186" s="66">
        <f t="shared" si="176"/>
        <v>21.791044913565361</v>
      </c>
      <c r="AE186" s="63">
        <f t="shared" si="177"/>
        <v>-58.62742129975539</v>
      </c>
      <c r="AF186" s="51" t="e">
        <f t="shared" si="178"/>
        <v>#NUM!</v>
      </c>
      <c r="AG186" s="51" t="str">
        <f t="shared" si="160"/>
        <v>1-2.25549117274171i</v>
      </c>
      <c r="AH186" s="51">
        <f t="shared" si="179"/>
        <v>2.4672333554643293</v>
      </c>
      <c r="AI186" s="51">
        <f t="shared" si="180"/>
        <v>-1.1534759152714584</v>
      </c>
      <c r="AJ186" s="51" t="str">
        <f t="shared" si="161"/>
        <v>1+0.00300732156365561i</v>
      </c>
      <c r="AK186" s="51">
        <f t="shared" si="181"/>
        <v>1.0000045219812694</v>
      </c>
      <c r="AL186" s="51">
        <f t="shared" si="182"/>
        <v>3.0073124976497858E-3</v>
      </c>
      <c r="AM186" s="51" t="e">
        <f t="shared" si="162"/>
        <v>#NUM!</v>
      </c>
      <c r="AN186" s="51" t="e">
        <f t="shared" si="183"/>
        <v>#NUM!</v>
      </c>
      <c r="AO186" s="51" t="e">
        <f t="shared" si="184"/>
        <v>#NUM!</v>
      </c>
      <c r="AP186" s="60" t="e">
        <f t="shared" si="185"/>
        <v>#NUM!</v>
      </c>
      <c r="AQ186" s="51" t="e">
        <f t="shared" si="186"/>
        <v>#NUM!</v>
      </c>
      <c r="AR186" s="63" t="e">
        <f t="shared" si="187"/>
        <v>#NUM!</v>
      </c>
      <c r="AS186" s="32" t="str">
        <f t="shared" si="163"/>
        <v>-0.000170731707317073</v>
      </c>
      <c r="AT186" s="32" t="str">
        <f t="shared" si="164"/>
        <v>0.000114278219418913i</v>
      </c>
      <c r="AU186" s="32">
        <f t="shared" si="188"/>
        <v>1.14278219418913E-4</v>
      </c>
      <c r="AV186" s="32">
        <f t="shared" si="189"/>
        <v>1.5707963267948966</v>
      </c>
      <c r="AW186" s="32" t="str">
        <f t="shared" si="165"/>
        <v>1+0.0243308142507968i</v>
      </c>
      <c r="AX186" s="32">
        <f t="shared" si="190"/>
        <v>1.0002959504677138</v>
      </c>
      <c r="AY186" s="32">
        <f t="shared" si="191"/>
        <v>2.4326014767834799E-2</v>
      </c>
      <c r="AZ186" s="32" t="str">
        <f t="shared" si="166"/>
        <v>1+0.462285470765141i</v>
      </c>
      <c r="BA186" s="32">
        <f t="shared" si="192"/>
        <v>1.1016841001305901</v>
      </c>
      <c r="BB186" s="32">
        <f t="shared" si="193"/>
        <v>0.43302342762582102</v>
      </c>
      <c r="BC186" s="60" t="str">
        <f t="shared" si="194"/>
        <v>-0.653917327337075+1.50991075672473i</v>
      </c>
      <c r="BD186" s="51">
        <f t="shared" si="195"/>
        <v>4.3255857855149866</v>
      </c>
      <c r="BE186" s="63">
        <f t="shared" si="196"/>
        <v>113.41663685467829</v>
      </c>
      <c r="BF186" s="60" t="str">
        <f t="shared" si="197"/>
        <v>11.6599238121241+16.5223924102908i</v>
      </c>
      <c r="BG186" s="66">
        <f t="shared" si="198"/>
        <v>26.116630699080361</v>
      </c>
      <c r="BH186" s="63">
        <f t="shared" si="199"/>
        <v>54.789215554922862</v>
      </c>
      <c r="BI186" s="60" t="e">
        <f t="shared" si="203"/>
        <v>#NUM!</v>
      </c>
      <c r="BJ186" s="66" t="e">
        <f t="shared" si="200"/>
        <v>#NUM!</v>
      </c>
      <c r="BK186" s="63" t="e">
        <f t="shared" si="204"/>
        <v>#NUM!</v>
      </c>
      <c r="BL186" s="51">
        <f t="shared" si="201"/>
        <v>26.116630699080361</v>
      </c>
      <c r="BM186" s="63">
        <f t="shared" si="202"/>
        <v>54.789215554922862</v>
      </c>
    </row>
    <row r="187" spans="14:65" x14ac:dyDescent="0.3">
      <c r="N187" s="11">
        <v>69</v>
      </c>
      <c r="O187" s="52">
        <f t="shared" si="205"/>
        <v>489.77881936844625</v>
      </c>
      <c r="P187" s="50" t="str">
        <f t="shared" si="155"/>
        <v>23.3035714285714</v>
      </c>
      <c r="Q187" s="18" t="str">
        <f t="shared" si="156"/>
        <v>1+1.64859165086978i</v>
      </c>
      <c r="R187" s="18">
        <f t="shared" si="167"/>
        <v>1.9281738592039741</v>
      </c>
      <c r="S187" s="18">
        <f t="shared" si="168"/>
        <v>1.0255538408192257</v>
      </c>
      <c r="T187" s="18" t="str">
        <f t="shared" si="157"/>
        <v>1+0.00307737108162359i</v>
      </c>
      <c r="U187" s="18">
        <f t="shared" si="169"/>
        <v>1.0000047350951764</v>
      </c>
      <c r="V187" s="18">
        <f t="shared" si="170"/>
        <v>3.0773613672258125E-3</v>
      </c>
      <c r="W187" s="32" t="str">
        <f t="shared" si="158"/>
        <v>1-0.00752246264396878i</v>
      </c>
      <c r="X187" s="18">
        <f t="shared" si="171"/>
        <v>1.0000282933218589</v>
      </c>
      <c r="Y187" s="18">
        <f t="shared" si="172"/>
        <v>-7.5223207564744004E-3</v>
      </c>
      <c r="Z187" s="32" t="str">
        <f t="shared" si="159"/>
        <v>0.999999040466832+0.00369199902090086i</v>
      </c>
      <c r="AA187" s="18">
        <f t="shared" si="173"/>
        <v>1.0000058558785319</v>
      </c>
      <c r="AB187" s="18">
        <f t="shared" si="174"/>
        <v>3.6919857885520648E-3</v>
      </c>
      <c r="AC187" s="68" t="str">
        <f t="shared" si="175"/>
        <v>6.18389525170425-10.3843410249215i</v>
      </c>
      <c r="AD187" s="66">
        <f t="shared" si="176"/>
        <v>21.645761893359548</v>
      </c>
      <c r="AE187" s="63">
        <f t="shared" si="177"/>
        <v>-59.226119359190371</v>
      </c>
      <c r="AF187" s="51" t="e">
        <f t="shared" si="178"/>
        <v>#NUM!</v>
      </c>
      <c r="AG187" s="51" t="str">
        <f t="shared" si="160"/>
        <v>1-2.3080283112177i</v>
      </c>
      <c r="AH187" s="51">
        <f t="shared" si="179"/>
        <v>2.5153518015145373</v>
      </c>
      <c r="AI187" s="51">
        <f t="shared" si="180"/>
        <v>-1.161941610693136</v>
      </c>
      <c r="AJ187" s="51" t="str">
        <f t="shared" si="161"/>
        <v>1+0.00307737108162359i</v>
      </c>
      <c r="AK187" s="51">
        <f t="shared" si="181"/>
        <v>1.0000047350951764</v>
      </c>
      <c r="AL187" s="51">
        <f t="shared" si="182"/>
        <v>3.0773613672258125E-3</v>
      </c>
      <c r="AM187" s="51" t="e">
        <f t="shared" si="162"/>
        <v>#NUM!</v>
      </c>
      <c r="AN187" s="51" t="e">
        <f t="shared" si="183"/>
        <v>#NUM!</v>
      </c>
      <c r="AO187" s="51" t="e">
        <f t="shared" si="184"/>
        <v>#NUM!</v>
      </c>
      <c r="AP187" s="60" t="e">
        <f t="shared" si="185"/>
        <v>#NUM!</v>
      </c>
      <c r="AQ187" s="51" t="e">
        <f t="shared" si="186"/>
        <v>#NUM!</v>
      </c>
      <c r="AR187" s="63" t="e">
        <f t="shared" si="187"/>
        <v>#NUM!</v>
      </c>
      <c r="AS187" s="32" t="str">
        <f t="shared" si="163"/>
        <v>-0.000170731707317073</v>
      </c>
      <c r="AT187" s="32" t="str">
        <f t="shared" si="164"/>
        <v>0.000116940101101696i</v>
      </c>
      <c r="AU187" s="32">
        <f t="shared" si="188"/>
        <v>1.16940101101696E-4</v>
      </c>
      <c r="AV187" s="32">
        <f t="shared" si="189"/>
        <v>1.5707963267948966</v>
      </c>
      <c r="AW187" s="32" t="str">
        <f t="shared" si="165"/>
        <v>1+0.0248975517193251i</v>
      </c>
      <c r="AX187" s="32">
        <f t="shared" si="190"/>
        <v>1.0003098960230357</v>
      </c>
      <c r="AY187" s="32">
        <f t="shared" si="191"/>
        <v>2.4892409066720324E-2</v>
      </c>
      <c r="AZ187" s="32" t="str">
        <f t="shared" si="166"/>
        <v>1+0.473053482667178i</v>
      </c>
      <c r="BA187" s="32">
        <f t="shared" si="192"/>
        <v>1.1062457220091502</v>
      </c>
      <c r="BB187" s="32">
        <f t="shared" si="193"/>
        <v>0.44185895530498842</v>
      </c>
      <c r="BC187" s="60" t="str">
        <f t="shared" si="194"/>
        <v>-0.653899094633922+1.47627330087132i</v>
      </c>
      <c r="BD187" s="51">
        <f t="shared" si="195"/>
        <v>4.1613551454862678</v>
      </c>
      <c r="BE187" s="63">
        <f t="shared" si="196"/>
        <v>113.89042329759924</v>
      </c>
      <c r="BF187" s="60" t="str">
        <f t="shared" si="197"/>
        <v>11.2864818958339+15.919430650042i</v>
      </c>
      <c r="BG187" s="66">
        <f t="shared" si="198"/>
        <v>25.807117038845817</v>
      </c>
      <c r="BH187" s="63">
        <f t="shared" si="199"/>
        <v>54.664303938408949</v>
      </c>
      <c r="BI187" s="60" t="e">
        <f t="shared" si="203"/>
        <v>#NUM!</v>
      </c>
      <c r="BJ187" s="66" t="e">
        <f t="shared" si="200"/>
        <v>#NUM!</v>
      </c>
      <c r="BK187" s="63" t="e">
        <f t="shared" si="204"/>
        <v>#NUM!</v>
      </c>
      <c r="BL187" s="51">
        <f t="shared" si="201"/>
        <v>25.807117038845817</v>
      </c>
      <c r="BM187" s="63">
        <f t="shared" si="202"/>
        <v>54.664303938408949</v>
      </c>
    </row>
    <row r="188" spans="14:65" x14ac:dyDescent="0.3">
      <c r="N188" s="11">
        <v>70</v>
      </c>
      <c r="O188" s="52">
        <f t="shared" si="205"/>
        <v>501.18723362727269</v>
      </c>
      <c r="P188" s="50" t="str">
        <f t="shared" si="155"/>
        <v>23.3035714285714</v>
      </c>
      <c r="Q188" s="18" t="str">
        <f t="shared" si="156"/>
        <v>1+1.6869922834676i</v>
      </c>
      <c r="R188" s="18">
        <f t="shared" si="167"/>
        <v>1.9611075861561567</v>
      </c>
      <c r="S188" s="18">
        <f t="shared" si="168"/>
        <v>1.0357092688665779</v>
      </c>
      <c r="T188" s="18" t="str">
        <f t="shared" si="157"/>
        <v>1+0.00314905226247286i</v>
      </c>
      <c r="U188" s="18">
        <f t="shared" si="169"/>
        <v>1.0000049582527837</v>
      </c>
      <c r="V188" s="18">
        <f t="shared" si="170"/>
        <v>3.1490418533108903E-3</v>
      </c>
      <c r="W188" s="32" t="str">
        <f t="shared" si="158"/>
        <v>1-0.00769768330826699i</v>
      </c>
      <c r="X188" s="18">
        <f t="shared" si="171"/>
        <v>1.0000296267252857</v>
      </c>
      <c r="Y188" s="18">
        <f t="shared" si="172"/>
        <v>-7.6975312733208552E-3</v>
      </c>
      <c r="Z188" s="32" t="str">
        <f t="shared" si="159"/>
        <v>0.999998995245427+0.00377799672559525i</v>
      </c>
      <c r="AA188" s="18">
        <f t="shared" si="173"/>
        <v>1.0000061318567612</v>
      </c>
      <c r="AB188" s="18">
        <f t="shared" si="174"/>
        <v>3.7779825468827236E-3</v>
      </c>
      <c r="AC188" s="68" t="str">
        <f t="shared" si="175"/>
        <v>5.97410913111213-10.2723158177951i</v>
      </c>
      <c r="AD188" s="66">
        <f t="shared" si="176"/>
        <v>21.498668436858374</v>
      </c>
      <c r="AE188" s="63">
        <f t="shared" si="177"/>
        <v>-59.818841610572044</v>
      </c>
      <c r="AF188" s="51" t="e">
        <f t="shared" si="178"/>
        <v>#NUM!</v>
      </c>
      <c r="AG188" s="51" t="str">
        <f t="shared" si="160"/>
        <v>1-2.36178919685465i</v>
      </c>
      <c r="AH188" s="51">
        <f t="shared" si="179"/>
        <v>2.5647705960532474</v>
      </c>
      <c r="AI188" s="51">
        <f t="shared" si="180"/>
        <v>-1.170275048149596</v>
      </c>
      <c r="AJ188" s="51" t="str">
        <f t="shared" si="161"/>
        <v>1+0.00314905226247286i</v>
      </c>
      <c r="AK188" s="51">
        <f t="shared" si="181"/>
        <v>1.0000049582527837</v>
      </c>
      <c r="AL188" s="51">
        <f t="shared" si="182"/>
        <v>3.1490418533108903E-3</v>
      </c>
      <c r="AM188" s="51" t="e">
        <f t="shared" si="162"/>
        <v>#NUM!</v>
      </c>
      <c r="AN188" s="51" t="e">
        <f t="shared" si="183"/>
        <v>#NUM!</v>
      </c>
      <c r="AO188" s="51" t="e">
        <f t="shared" si="184"/>
        <v>#NUM!</v>
      </c>
      <c r="AP188" s="60" t="e">
        <f t="shared" si="185"/>
        <v>#NUM!</v>
      </c>
      <c r="AQ188" s="51" t="e">
        <f t="shared" si="186"/>
        <v>#NUM!</v>
      </c>
      <c r="AR188" s="63" t="e">
        <f t="shared" si="187"/>
        <v>#NUM!</v>
      </c>
      <c r="AS188" s="32" t="str">
        <f t="shared" si="163"/>
        <v>-0.000170731707317073</v>
      </c>
      <c r="AT188" s="32" t="str">
        <f t="shared" si="164"/>
        <v>0.000119663985973969i</v>
      </c>
      <c r="AU188" s="32">
        <f t="shared" si="188"/>
        <v>1.19663985973969E-4</v>
      </c>
      <c r="AV188" s="32">
        <f t="shared" si="189"/>
        <v>1.5707963267948966</v>
      </c>
      <c r="AW188" s="32" t="str">
        <f t="shared" si="165"/>
        <v>1+0.025477490199333i</v>
      </c>
      <c r="AX188" s="32">
        <f t="shared" si="190"/>
        <v>1.0003244986037567</v>
      </c>
      <c r="AY188" s="32">
        <f t="shared" si="191"/>
        <v>2.5471979844326063E-2</v>
      </c>
      <c r="AZ188" s="32" t="str">
        <f t="shared" si="166"/>
        <v>1+0.484072313787328i</v>
      </c>
      <c r="BA188" s="32">
        <f t="shared" si="192"/>
        <v>1.111002252461901</v>
      </c>
      <c r="BB188" s="32">
        <f t="shared" si="193"/>
        <v>0.4508244612191073</v>
      </c>
      <c r="BC188" s="60" t="str">
        <f t="shared" si="194"/>
        <v>-0.65388000373965+1.44341854189126i</v>
      </c>
      <c r="BD188" s="51">
        <f t="shared" si="195"/>
        <v>3.9984950532747252</v>
      </c>
      <c r="BE188" s="63">
        <f t="shared" si="196"/>
        <v>114.37090198819186</v>
      </c>
      <c r="BF188" s="60" t="str">
        <f t="shared" si="197"/>
        <v>10.9209006185757+15.3400017964839i</v>
      </c>
      <c r="BG188" s="66">
        <f t="shared" si="198"/>
        <v>25.497163490133129</v>
      </c>
      <c r="BH188" s="63">
        <f t="shared" si="199"/>
        <v>54.552060377619782</v>
      </c>
      <c r="BI188" s="60" t="e">
        <f t="shared" si="203"/>
        <v>#NUM!</v>
      </c>
      <c r="BJ188" s="66" t="e">
        <f t="shared" si="200"/>
        <v>#NUM!</v>
      </c>
      <c r="BK188" s="63" t="e">
        <f t="shared" si="204"/>
        <v>#NUM!</v>
      </c>
      <c r="BL188" s="51">
        <f t="shared" si="201"/>
        <v>25.497163490133129</v>
      </c>
      <c r="BM188" s="63">
        <f t="shared" si="202"/>
        <v>54.552060377619782</v>
      </c>
    </row>
    <row r="189" spans="14:65" x14ac:dyDescent="0.3">
      <c r="N189" s="11">
        <v>71</v>
      </c>
      <c r="O189" s="52">
        <f t="shared" si="205"/>
        <v>512.86138399136519</v>
      </c>
      <c r="P189" s="50" t="str">
        <f t="shared" si="155"/>
        <v>23.3035714285714</v>
      </c>
      <c r="Q189" s="18" t="str">
        <f t="shared" si="156"/>
        <v>1+1.7262873817041i</v>
      </c>
      <c r="R189" s="18">
        <f t="shared" si="167"/>
        <v>1.9950108080486175</v>
      </c>
      <c r="S189" s="18">
        <f t="shared" si="168"/>
        <v>1.0457530908844721</v>
      </c>
      <c r="T189" s="18" t="str">
        <f t="shared" si="157"/>
        <v>1+0.00322240311251433i</v>
      </c>
      <c r="U189" s="18">
        <f t="shared" si="169"/>
        <v>1.0000051919274318</v>
      </c>
      <c r="V189" s="18">
        <f t="shared" si="170"/>
        <v>3.2223919588994553E-3</v>
      </c>
      <c r="W189" s="32" t="str">
        <f t="shared" si="158"/>
        <v>1-0.00787698538614614i</v>
      </c>
      <c r="X189" s="18">
        <f t="shared" si="171"/>
        <v>1.0000310229681746</v>
      </c>
      <c r="Y189" s="18">
        <f t="shared" si="172"/>
        <v>-7.8768224780392318E-3</v>
      </c>
      <c r="Z189" s="32" t="str">
        <f t="shared" si="159"/>
        <v>0.999998947892803+0.00386599757416125i</v>
      </c>
      <c r="AA189" s="18">
        <f t="shared" si="173"/>
        <v>1.0000064208413646</v>
      </c>
      <c r="AB189" s="18">
        <f t="shared" si="174"/>
        <v>3.8659823814022839E-3</v>
      </c>
      <c r="AC189" s="68" t="str">
        <f t="shared" si="175"/>
        <v>5.7689085310908-10.1573535673334i</v>
      </c>
      <c r="AD189" s="66">
        <f t="shared" si="176"/>
        <v>21.349803420383697</v>
      </c>
      <c r="AE189" s="63">
        <f t="shared" si="177"/>
        <v>-60.405422219350918</v>
      </c>
      <c r="AF189" s="51" t="e">
        <f t="shared" si="178"/>
        <v>#NUM!</v>
      </c>
      <c r="AG189" s="51" t="str">
        <f t="shared" si="160"/>
        <v>1-2.41680233438575i</v>
      </c>
      <c r="AH189" s="51">
        <f t="shared" si="179"/>
        <v>2.6155178308496407</v>
      </c>
      <c r="AI189" s="51">
        <f t="shared" si="180"/>
        <v>-1.1784760152851641</v>
      </c>
      <c r="AJ189" s="51" t="str">
        <f t="shared" si="161"/>
        <v>1+0.00322240311251433i</v>
      </c>
      <c r="AK189" s="51">
        <f t="shared" si="181"/>
        <v>1.0000051919274318</v>
      </c>
      <c r="AL189" s="51">
        <f t="shared" si="182"/>
        <v>3.2223919588994553E-3</v>
      </c>
      <c r="AM189" s="51" t="e">
        <f t="shared" si="162"/>
        <v>#NUM!</v>
      </c>
      <c r="AN189" s="51" t="e">
        <f t="shared" si="183"/>
        <v>#NUM!</v>
      </c>
      <c r="AO189" s="51" t="e">
        <f t="shared" si="184"/>
        <v>#NUM!</v>
      </c>
      <c r="AP189" s="60" t="e">
        <f t="shared" si="185"/>
        <v>#NUM!</v>
      </c>
      <c r="AQ189" s="51" t="e">
        <f t="shared" si="186"/>
        <v>#NUM!</v>
      </c>
      <c r="AR189" s="63" t="e">
        <f t="shared" si="187"/>
        <v>#NUM!</v>
      </c>
      <c r="AS189" s="32" t="str">
        <f t="shared" si="163"/>
        <v>-0.000170731707317073</v>
      </c>
      <c r="AT189" s="32" t="str">
        <f t="shared" si="164"/>
        <v>0.000122451318275545i</v>
      </c>
      <c r="AU189" s="32">
        <f t="shared" si="188"/>
        <v>1.2245131827554501E-4</v>
      </c>
      <c r="AV189" s="32">
        <f t="shared" si="189"/>
        <v>1.5707963267948966</v>
      </c>
      <c r="AW189" s="32" t="str">
        <f t="shared" si="165"/>
        <v>1+0.0260709371818791i</v>
      </c>
      <c r="AX189" s="32">
        <f t="shared" si="190"/>
        <v>1.0003397891544361</v>
      </c>
      <c r="AY189" s="32">
        <f t="shared" si="191"/>
        <v>2.6065032838424602E-2</v>
      </c>
      <c r="AZ189" s="32" t="str">
        <f t="shared" si="166"/>
        <v>1+0.495347806455703i</v>
      </c>
      <c r="BA189" s="32">
        <f t="shared" si="192"/>
        <v>1.1159612221580446</v>
      </c>
      <c r="BB189" s="32">
        <f t="shared" si="193"/>
        <v>0.4599189328039367</v>
      </c>
      <c r="BC189" s="60" t="str">
        <f t="shared" si="194"/>
        <v>-0.653860014313996+1.41132905670148i</v>
      </c>
      <c r="BD189" s="51">
        <f t="shared" si="195"/>
        <v>3.8370455733064861</v>
      </c>
      <c r="BE189" s="63">
        <f t="shared" si="196"/>
        <v>114.85799739331492</v>
      </c>
      <c r="BF189" s="60" t="str">
        <f t="shared" si="197"/>
        <v>10.5633096140529+14.7833155843104i</v>
      </c>
      <c r="BG189" s="66">
        <f t="shared" si="198"/>
        <v>25.18684899369017</v>
      </c>
      <c r="BH189" s="63">
        <f t="shared" si="199"/>
        <v>54.452575173963936</v>
      </c>
      <c r="BI189" s="60" t="e">
        <f t="shared" si="203"/>
        <v>#NUM!</v>
      </c>
      <c r="BJ189" s="66" t="e">
        <f t="shared" si="200"/>
        <v>#NUM!</v>
      </c>
      <c r="BK189" s="63" t="e">
        <f t="shared" si="204"/>
        <v>#NUM!</v>
      </c>
      <c r="BL189" s="51">
        <f t="shared" si="201"/>
        <v>25.18684899369017</v>
      </c>
      <c r="BM189" s="63">
        <f t="shared" si="202"/>
        <v>54.452575173963936</v>
      </c>
    </row>
    <row r="190" spans="14:65" x14ac:dyDescent="0.3">
      <c r="N190" s="11">
        <v>72</v>
      </c>
      <c r="O190" s="52">
        <f t="shared" si="205"/>
        <v>524.80746024977248</v>
      </c>
      <c r="P190" s="50" t="str">
        <f t="shared" si="155"/>
        <v>23.3035714285714</v>
      </c>
      <c r="Q190" s="18" t="str">
        <f t="shared" si="156"/>
        <v>1+1.7664977803605i</v>
      </c>
      <c r="R190" s="18">
        <f t="shared" si="167"/>
        <v>2.0299050243837944</v>
      </c>
      <c r="S190" s="18">
        <f t="shared" si="168"/>
        <v>1.0556825260390439</v>
      </c>
      <c r="T190" s="18" t="str">
        <f t="shared" si="157"/>
        <v>1+0.00329746252333961i</v>
      </c>
      <c r="U190" s="18">
        <f t="shared" si="169"/>
        <v>1.0000054366147682</v>
      </c>
      <c r="V190" s="18">
        <f t="shared" si="170"/>
        <v>3.297450572029458E-3</v>
      </c>
      <c r="W190" s="32" t="str">
        <f t="shared" si="158"/>
        <v>1-0.00806046394594127i</v>
      </c>
      <c r="X190" s="18">
        <f t="shared" si="171"/>
        <v>1.000032485011874</v>
      </c>
      <c r="Y190" s="18">
        <f t="shared" si="172"/>
        <v>-8.0602893870659869E-3</v>
      </c>
      <c r="Z190" s="32" t="str">
        <f t="shared" si="159"/>
        <v>0.999998898308519+0.00395604822581361i</v>
      </c>
      <c r="AA190" s="18">
        <f t="shared" si="173"/>
        <v>1.0000067234453058</v>
      </c>
      <c r="AB190" s="18">
        <f t="shared" si="174"/>
        <v>3.9560319464849438E-3</v>
      </c>
      <c r="AC190" s="68" t="str">
        <f t="shared" si="175"/>
        <v>5.56835513195326-10.0396715729598i</v>
      </c>
      <c r="AD190" s="66">
        <f t="shared" si="176"/>
        <v>21.199206302236998</v>
      </c>
      <c r="AE190" s="63">
        <f t="shared" si="177"/>
        <v>-60.985707744502136</v>
      </c>
      <c r="AF190" s="51" t="e">
        <f t="shared" si="178"/>
        <v>#NUM!</v>
      </c>
      <c r="AG190" s="51" t="str">
        <f t="shared" si="160"/>
        <v>1-2.47309689250471i</v>
      </c>
      <c r="AH190" s="51">
        <f t="shared" si="179"/>
        <v>2.66762220708189</v>
      </c>
      <c r="AI190" s="51">
        <f t="shared" si="180"/>
        <v>-1.1865444468059214</v>
      </c>
      <c r="AJ190" s="51" t="str">
        <f t="shared" si="161"/>
        <v>1+0.00329746252333961i</v>
      </c>
      <c r="AK190" s="51">
        <f t="shared" si="181"/>
        <v>1.0000054366147682</v>
      </c>
      <c r="AL190" s="51">
        <f t="shared" si="182"/>
        <v>3.297450572029458E-3</v>
      </c>
      <c r="AM190" s="51" t="e">
        <f t="shared" si="162"/>
        <v>#NUM!</v>
      </c>
      <c r="AN190" s="51" t="e">
        <f t="shared" si="183"/>
        <v>#NUM!</v>
      </c>
      <c r="AO190" s="51" t="e">
        <f t="shared" si="184"/>
        <v>#NUM!</v>
      </c>
      <c r="AP190" s="60" t="e">
        <f t="shared" si="185"/>
        <v>#NUM!</v>
      </c>
      <c r="AQ190" s="51" t="e">
        <f t="shared" si="186"/>
        <v>#NUM!</v>
      </c>
      <c r="AR190" s="63" t="e">
        <f t="shared" si="187"/>
        <v>#NUM!</v>
      </c>
      <c r="AS190" s="32" t="str">
        <f t="shared" si="163"/>
        <v>-0.000170731707317073</v>
      </c>
      <c r="AT190" s="32" t="str">
        <f t="shared" si="164"/>
        <v>0.000125303575886905i</v>
      </c>
      <c r="AU190" s="32">
        <f t="shared" si="188"/>
        <v>1.2530357588690501E-4</v>
      </c>
      <c r="AV190" s="32">
        <f t="shared" si="189"/>
        <v>1.5707963267948966</v>
      </c>
      <c r="AW190" s="32" t="str">
        <f t="shared" si="165"/>
        <v>1+0.0266782073204086i</v>
      </c>
      <c r="AX190" s="32">
        <f t="shared" si="190"/>
        <v>1.0003558000760684</v>
      </c>
      <c r="AY190" s="32">
        <f t="shared" si="191"/>
        <v>2.6671880823937393E-2</v>
      </c>
      <c r="AZ190" s="32" t="str">
        <f t="shared" si="166"/>
        <v>1+0.506885939087765i</v>
      </c>
      <c r="BA190" s="32">
        <f t="shared" si="192"/>
        <v>1.1211303917229634</v>
      </c>
      <c r="BB190" s="32">
        <f t="shared" si="193"/>
        <v>0.46914117351399909</v>
      </c>
      <c r="BC190" s="60" t="str">
        <f t="shared" si="194"/>
        <v>-0.653839084125624+1.37998782775922i</v>
      </c>
      <c r="BD190" s="51">
        <f t="shared" si="195"/>
        <v>3.6770469884628736</v>
      </c>
      <c r="BE190" s="63">
        <f t="shared" si="196"/>
        <v>115.35162303527923</v>
      </c>
      <c r="BF190" s="60" t="str">
        <f t="shared" si="197"/>
        <v>10.2138163458222+14.2485919689222i</v>
      </c>
      <c r="BG190" s="66">
        <f t="shared" si="198"/>
        <v>24.876253290699868</v>
      </c>
      <c r="BH190" s="63">
        <f t="shared" si="199"/>
        <v>54.365915290777259</v>
      </c>
      <c r="BI190" s="60" t="e">
        <f t="shared" si="203"/>
        <v>#NUM!</v>
      </c>
      <c r="BJ190" s="66" t="e">
        <f t="shared" si="200"/>
        <v>#NUM!</v>
      </c>
      <c r="BK190" s="63" t="e">
        <f t="shared" si="204"/>
        <v>#NUM!</v>
      </c>
      <c r="BL190" s="51">
        <f t="shared" si="201"/>
        <v>24.876253290699868</v>
      </c>
      <c r="BM190" s="63">
        <f t="shared" si="202"/>
        <v>54.365915290777259</v>
      </c>
    </row>
    <row r="191" spans="14:65" x14ac:dyDescent="0.3">
      <c r="N191" s="11">
        <v>73</v>
      </c>
      <c r="O191" s="52">
        <f t="shared" si="205"/>
        <v>537.03179637025301</v>
      </c>
      <c r="P191" s="50" t="str">
        <f t="shared" si="155"/>
        <v>23.3035714285714</v>
      </c>
      <c r="Q191" s="18" t="str">
        <f t="shared" si="156"/>
        <v>1+1.80764479952241i</v>
      </c>
      <c r="R191" s="18">
        <f t="shared" si="167"/>
        <v>2.0658121214767848</v>
      </c>
      <c r="S191" s="18">
        <f t="shared" si="168"/>
        <v>1.0654950065744884</v>
      </c>
      <c r="T191" s="18" t="str">
        <f t="shared" si="157"/>
        <v>1+0.00337427029244183i</v>
      </c>
      <c r="U191" s="18">
        <f t="shared" si="169"/>
        <v>1.000005692833799</v>
      </c>
      <c r="V191" s="18">
        <f t="shared" si="170"/>
        <v>3.3742574863862163E-3</v>
      </c>
      <c r="W191" s="32" t="str">
        <f t="shared" si="158"/>
        <v>1-0.00824821627041336i</v>
      </c>
      <c r="X191" s="18">
        <f t="shared" si="171"/>
        <v>1.0000340159572791</v>
      </c>
      <c r="Y191" s="18">
        <f t="shared" si="172"/>
        <v>-8.2480292275522085E-3</v>
      </c>
      <c r="Z191" s="32" t="str">
        <f t="shared" si="159"/>
        <v>0.999998846387399+0.00404819642659977i</v>
      </c>
      <c r="AA191" s="18">
        <f t="shared" si="173"/>
        <v>1.0000070403104355</v>
      </c>
      <c r="AB191" s="18">
        <f t="shared" si="174"/>
        <v>4.0481789829914117E-3</v>
      </c>
      <c r="AC191" s="68" t="str">
        <f t="shared" si="175"/>
        <v>5.37249822646539-9.91948582926317i</v>
      </c>
      <c r="AD191" s="66">
        <f t="shared" si="176"/>
        <v>21.046917015492653</v>
      </c>
      <c r="AE191" s="63">
        <f t="shared" si="177"/>
        <v>-61.559557090499993</v>
      </c>
      <c r="AF191" s="51" t="e">
        <f t="shared" si="178"/>
        <v>#NUM!</v>
      </c>
      <c r="AG191" s="51" t="str">
        <f t="shared" si="160"/>
        <v>1-2.53070271933138i</v>
      </c>
      <c r="AH191" s="51">
        <f t="shared" si="179"/>
        <v>2.7211130541804471</v>
      </c>
      <c r="AI191" s="51">
        <f t="shared" si="180"/>
        <v>-1.1944804176430217</v>
      </c>
      <c r="AJ191" s="51" t="str">
        <f t="shared" si="161"/>
        <v>1+0.00337427029244183i</v>
      </c>
      <c r="AK191" s="51">
        <f t="shared" si="181"/>
        <v>1.000005692833799</v>
      </c>
      <c r="AL191" s="51">
        <f t="shared" si="182"/>
        <v>3.3742574863862163E-3</v>
      </c>
      <c r="AM191" s="51" t="e">
        <f t="shared" si="162"/>
        <v>#NUM!</v>
      </c>
      <c r="AN191" s="51" t="e">
        <f t="shared" si="183"/>
        <v>#NUM!</v>
      </c>
      <c r="AO191" s="51" t="e">
        <f t="shared" si="184"/>
        <v>#NUM!</v>
      </c>
      <c r="AP191" s="60" t="e">
        <f t="shared" si="185"/>
        <v>#NUM!</v>
      </c>
      <c r="AQ191" s="51" t="e">
        <f t="shared" si="186"/>
        <v>#NUM!</v>
      </c>
      <c r="AR191" s="63" t="e">
        <f t="shared" si="187"/>
        <v>#NUM!</v>
      </c>
      <c r="AS191" s="32" t="str">
        <f t="shared" si="163"/>
        <v>-0.000170731707317073</v>
      </c>
      <c r="AT191" s="32" t="str">
        <f t="shared" si="164"/>
        <v>0.00012822227111279i</v>
      </c>
      <c r="AU191" s="32">
        <f t="shared" si="188"/>
        <v>1.2822227111279001E-4</v>
      </c>
      <c r="AV191" s="32">
        <f t="shared" si="189"/>
        <v>1.5707963267948966</v>
      </c>
      <c r="AW191" s="32" t="str">
        <f t="shared" si="165"/>
        <v>1+0.0272996225975872i</v>
      </c>
      <c r="AX191" s="32">
        <f t="shared" si="190"/>
        <v>1.0003725652945359</v>
      </c>
      <c r="AY191" s="32">
        <f t="shared" si="191"/>
        <v>2.729284377083074E-2</v>
      </c>
      <c r="AZ191" s="32" t="str">
        <f t="shared" si="166"/>
        <v>1+0.518692829354158i</v>
      </c>
      <c r="BA191" s="32">
        <f t="shared" si="192"/>
        <v>1.1265177545087435</v>
      </c>
      <c r="BB191" s="32">
        <f t="shared" si="193"/>
        <v>0.47848979737585279</v>
      </c>
      <c r="BC191" s="60" t="str">
        <f t="shared" si="194"/>
        <v>-0.653817168963979+1.3493782340235i</v>
      </c>
      <c r="BD191" s="51">
        <f t="shared" si="195"/>
        <v>3.518539724470255</v>
      </c>
      <c r="BE191" s="63">
        <f t="shared" si="196"/>
        <v>115.85168117072777</v>
      </c>
      <c r="BF191" s="60" t="str">
        <f t="shared" si="197"/>
        <v>9.87250669002067+13.7350623115894i</v>
      </c>
      <c r="BG191" s="66">
        <f t="shared" si="198"/>
        <v>24.565456739962904</v>
      </c>
      <c r="BH191" s="63">
        <f t="shared" si="199"/>
        <v>54.292124080227786</v>
      </c>
      <c r="BI191" s="60" t="e">
        <f t="shared" si="203"/>
        <v>#NUM!</v>
      </c>
      <c r="BJ191" s="66" t="e">
        <f t="shared" si="200"/>
        <v>#NUM!</v>
      </c>
      <c r="BK191" s="63" t="e">
        <f t="shared" si="204"/>
        <v>#NUM!</v>
      </c>
      <c r="BL191" s="51">
        <f t="shared" si="201"/>
        <v>24.565456739962904</v>
      </c>
      <c r="BM191" s="63">
        <f t="shared" si="202"/>
        <v>54.292124080227786</v>
      </c>
    </row>
    <row r="192" spans="14:65" x14ac:dyDescent="0.3">
      <c r="N192" s="11">
        <v>74</v>
      </c>
      <c r="O192" s="52">
        <f t="shared" si="205"/>
        <v>549.54087385762534</v>
      </c>
      <c r="P192" s="50" t="str">
        <f t="shared" si="155"/>
        <v>23.3035714285714</v>
      </c>
      <c r="Q192" s="18" t="str">
        <f t="shared" si="156"/>
        <v>1+1.84975025588403i</v>
      </c>
      <c r="R192" s="18">
        <f t="shared" si="167"/>
        <v>2.1027543863093081</v>
      </c>
      <c r="S192" s="18">
        <f t="shared" si="168"/>
        <v>1.0751881761559527</v>
      </c>
      <c r="T192" s="18" t="str">
        <f t="shared" si="157"/>
        <v>1+0.00345286714431686i</v>
      </c>
      <c r="U192" s="18">
        <f t="shared" si="169"/>
        <v>1.0000059611279906</v>
      </c>
      <c r="V192" s="18">
        <f t="shared" si="170"/>
        <v>3.4528534223854644E-3</v>
      </c>
      <c r="W192" s="32" t="str">
        <f t="shared" si="158"/>
        <v>1-0.0084403419083301i</v>
      </c>
      <c r="X192" s="18">
        <f t="shared" si="171"/>
        <v>1.0000356190514064</v>
      </c>
      <c r="Y192" s="18">
        <f t="shared" si="172"/>
        <v>-8.4401414886790104E-3</v>
      </c>
      <c r="Z192" s="32" t="str">
        <f t="shared" si="159"/>
        <v>0.999998792019312+0.00414249103471554i</v>
      </c>
      <c r="AA192" s="18">
        <f t="shared" si="173"/>
        <v>1.000007372108854</v>
      </c>
      <c r="AB192" s="18">
        <f t="shared" si="174"/>
        <v>4.1424723435598207E-3</v>
      </c>
      <c r="AC192" s="68" t="str">
        <f t="shared" si="175"/>
        <v>5.18137510553456-9.79701027338096i</v>
      </c>
      <c r="AD192" s="66">
        <f t="shared" si="176"/>
        <v>20.892975863873247</v>
      </c>
      <c r="AE192" s="63">
        <f t="shared" si="177"/>
        <v>-62.126841415554829</v>
      </c>
      <c r="AF192" s="51" t="e">
        <f t="shared" si="178"/>
        <v>#NUM!</v>
      </c>
      <c r="AG192" s="51" t="str">
        <f t="shared" si="160"/>
        <v>1-2.58965035823765i</v>
      </c>
      <c r="AH192" s="51">
        <f t="shared" si="179"/>
        <v>2.776020348974479</v>
      </c>
      <c r="AI192" s="51">
        <f t="shared" si="180"/>
        <v>-1.2022841360797116</v>
      </c>
      <c r="AJ192" s="51" t="str">
        <f t="shared" si="161"/>
        <v>1+0.00345286714431686i</v>
      </c>
      <c r="AK192" s="51">
        <f t="shared" si="181"/>
        <v>1.0000059611279906</v>
      </c>
      <c r="AL192" s="51">
        <f t="shared" si="182"/>
        <v>3.4528534223854644E-3</v>
      </c>
      <c r="AM192" s="51" t="e">
        <f t="shared" si="162"/>
        <v>#NUM!</v>
      </c>
      <c r="AN192" s="51" t="e">
        <f t="shared" si="183"/>
        <v>#NUM!</v>
      </c>
      <c r="AO192" s="51" t="e">
        <f t="shared" si="184"/>
        <v>#NUM!</v>
      </c>
      <c r="AP192" s="60" t="e">
        <f t="shared" si="185"/>
        <v>#NUM!</v>
      </c>
      <c r="AQ192" s="51" t="e">
        <f t="shared" si="186"/>
        <v>#NUM!</v>
      </c>
      <c r="AR192" s="63" t="e">
        <f t="shared" si="187"/>
        <v>#NUM!</v>
      </c>
      <c r="AS192" s="32" t="str">
        <f t="shared" si="163"/>
        <v>-0.000170731707317073</v>
      </c>
      <c r="AT192" s="32" t="str">
        <f t="shared" si="164"/>
        <v>0.000131208951484041i</v>
      </c>
      <c r="AU192" s="32">
        <f t="shared" si="188"/>
        <v>1.3120895148404101E-4</v>
      </c>
      <c r="AV192" s="32">
        <f t="shared" si="189"/>
        <v>1.5707963267948966</v>
      </c>
      <c r="AW192" s="32" t="str">
        <f t="shared" si="165"/>
        <v>1+0.0279355124960204i</v>
      </c>
      <c r="AX192" s="32">
        <f t="shared" si="190"/>
        <v>1.0003901203322709</v>
      </c>
      <c r="AY192" s="32">
        <f t="shared" si="191"/>
        <v>2.7928249005260294E-2</v>
      </c>
      <c r="AZ192" s="32" t="str">
        <f t="shared" si="166"/>
        <v>1+0.530774737424388i</v>
      </c>
      <c r="BA192" s="32">
        <f t="shared" si="192"/>
        <v>1.1321315391278206</v>
      </c>
      <c r="BB192" s="32">
        <f t="shared" si="193"/>
        <v>0.48796322393989905</v>
      </c>
      <c r="BC192" s="60" t="str">
        <f t="shared" si="194"/>
        <v>-0.653794222547114+1.31948404212591i</v>
      </c>
      <c r="BD192" s="51">
        <f t="shared" si="195"/>
        <v>3.3615642694070806</v>
      </c>
      <c r="BE192" s="63">
        <f t="shared" si="196"/>
        <v>116.35806249216148</v>
      </c>
      <c r="BF192" s="60" t="str">
        <f t="shared" si="197"/>
        <v>9.53944560742184+13.2419704829925i</v>
      </c>
      <c r="BG192" s="66">
        <f t="shared" si="198"/>
        <v>24.254540133280326</v>
      </c>
      <c r="BH192" s="63">
        <f t="shared" si="199"/>
        <v>54.231221076606666</v>
      </c>
      <c r="BI192" s="60" t="e">
        <f t="shared" si="203"/>
        <v>#NUM!</v>
      </c>
      <c r="BJ192" s="66" t="e">
        <f t="shared" si="200"/>
        <v>#NUM!</v>
      </c>
      <c r="BK192" s="63" t="e">
        <f t="shared" si="204"/>
        <v>#NUM!</v>
      </c>
      <c r="BL192" s="51">
        <f t="shared" si="201"/>
        <v>24.254540133280326</v>
      </c>
      <c r="BM192" s="63">
        <f t="shared" si="202"/>
        <v>54.231221076606666</v>
      </c>
    </row>
    <row r="193" spans="14:65" x14ac:dyDescent="0.3">
      <c r="N193" s="11">
        <v>75</v>
      </c>
      <c r="O193" s="52">
        <f t="shared" si="205"/>
        <v>562.34132519034927</v>
      </c>
      <c r="P193" s="50" t="str">
        <f t="shared" si="155"/>
        <v>23.3035714285714</v>
      </c>
      <c r="Q193" s="18" t="str">
        <f t="shared" si="156"/>
        <v>1+1.89283647431566i</v>
      </c>
      <c r="R193" s="18">
        <f t="shared" si="167"/>
        <v>2.1407545208406633</v>
      </c>
      <c r="S193" s="18">
        <f t="shared" si="168"/>
        <v>1.0847598874979809</v>
      </c>
      <c r="T193" s="18" t="str">
        <f t="shared" si="157"/>
        <v>1+0.0035332947520559i</v>
      </c>
      <c r="U193" s="18">
        <f t="shared" si="169"/>
        <v>1.0000062420664209</v>
      </c>
      <c r="V193" s="18">
        <f t="shared" si="170"/>
        <v>3.533280048746461E-3</v>
      </c>
      <c r="W193" s="32" t="str">
        <f t="shared" si="158"/>
        <v>1-0.00863694272724776i</v>
      </c>
      <c r="X193" s="18">
        <f t="shared" si="171"/>
        <v>1.000037297694278</v>
      </c>
      <c r="Y193" s="18">
        <f t="shared" si="172"/>
        <v>-8.6367279741550521E-3</v>
      </c>
      <c r="Z193" s="32" t="str">
        <f t="shared" si="159"/>
        <v>0.999998735088936+0.00423898204641026i</v>
      </c>
      <c r="AA193" s="18">
        <f t="shared" si="173"/>
        <v>1.0000077195443351</v>
      </c>
      <c r="AB193" s="18">
        <f t="shared" si="174"/>
        <v>4.2389620184843579E-3</v>
      </c>
      <c r="AC193" s="68" t="str">
        <f t="shared" si="175"/>
        <v>4.99501148896077-9.67245608473826i</v>
      </c>
      <c r="AD193" s="66">
        <f t="shared" si="176"/>
        <v>20.737423421118017</v>
      </c>
      <c r="AE193" s="63">
        <f t="shared" si="177"/>
        <v>-62.687443998986431</v>
      </c>
      <c r="AF193" s="51" t="e">
        <f t="shared" si="178"/>
        <v>#NUM!</v>
      </c>
      <c r="AG193" s="51" t="str">
        <f t="shared" si="160"/>
        <v>1-2.64997106404193i</v>
      </c>
      <c r="AH193" s="51">
        <f t="shared" si="179"/>
        <v>2.8323747351400237</v>
      </c>
      <c r="AI193" s="51">
        <f t="shared" si="180"/>
        <v>-1.2099559368768391</v>
      </c>
      <c r="AJ193" s="51" t="str">
        <f t="shared" si="161"/>
        <v>1+0.0035332947520559i</v>
      </c>
      <c r="AK193" s="51">
        <f t="shared" si="181"/>
        <v>1.0000062420664209</v>
      </c>
      <c r="AL193" s="51">
        <f t="shared" si="182"/>
        <v>3.533280048746461E-3</v>
      </c>
      <c r="AM193" s="51" t="e">
        <f t="shared" si="162"/>
        <v>#NUM!</v>
      </c>
      <c r="AN193" s="51" t="e">
        <f t="shared" si="183"/>
        <v>#NUM!</v>
      </c>
      <c r="AO193" s="51" t="e">
        <f t="shared" si="184"/>
        <v>#NUM!</v>
      </c>
      <c r="AP193" s="60" t="e">
        <f t="shared" si="185"/>
        <v>#NUM!</v>
      </c>
      <c r="AQ193" s="51" t="e">
        <f t="shared" si="186"/>
        <v>#NUM!</v>
      </c>
      <c r="AR193" s="63" t="e">
        <f t="shared" si="187"/>
        <v>#NUM!</v>
      </c>
      <c r="AS193" s="32" t="str">
        <f t="shared" si="163"/>
        <v>-0.000170731707317073</v>
      </c>
      <c r="AT193" s="32" t="str">
        <f t="shared" si="164"/>
        <v>0.000134265200578124i</v>
      </c>
      <c r="AU193" s="32">
        <f t="shared" si="188"/>
        <v>1.3426520057812399E-4</v>
      </c>
      <c r="AV193" s="32">
        <f t="shared" si="189"/>
        <v>1.5707963267948966</v>
      </c>
      <c r="AW193" s="32" t="str">
        <f t="shared" si="165"/>
        <v>1+0.0285862141729491i</v>
      </c>
      <c r="AX193" s="32">
        <f t="shared" si="190"/>
        <v>1.0004085023832723</v>
      </c>
      <c r="AY193" s="32">
        <f t="shared" si="191"/>
        <v>2.8578431374009658E-2</v>
      </c>
      <c r="AZ193" s="32" t="str">
        <f t="shared" si="166"/>
        <v>1+0.543138069286033i</v>
      </c>
      <c r="BA193" s="32">
        <f t="shared" si="192"/>
        <v>1.1379802117382181</v>
      </c>
      <c r="BB193" s="32">
        <f t="shared" si="193"/>
        <v>0.49755967368532966</v>
      </c>
      <c r="BC193" s="60" t="str">
        <f t="shared" si="194"/>
        <v>-0.653770196425184+1.29028939774555i</v>
      </c>
      <c r="BD193" s="51">
        <f t="shared" si="195"/>
        <v>3.2061610884423479</v>
      </c>
      <c r="BE193" s="63">
        <f t="shared" si="196"/>
        <v>116.87064585524091</v>
      </c>
      <c r="BF193" s="60" t="str">
        <f t="shared" si="197"/>
        <v>9.21467789401328+12.7685738802566i</v>
      </c>
      <c r="BG193" s="66">
        <f t="shared" si="198"/>
        <v>23.94358450956037</v>
      </c>
      <c r="BH193" s="63">
        <f t="shared" si="199"/>
        <v>54.183201856254485</v>
      </c>
      <c r="BI193" s="60" t="e">
        <f t="shared" si="203"/>
        <v>#NUM!</v>
      </c>
      <c r="BJ193" s="66" t="e">
        <f t="shared" si="200"/>
        <v>#NUM!</v>
      </c>
      <c r="BK193" s="63" t="e">
        <f t="shared" si="204"/>
        <v>#NUM!</v>
      </c>
      <c r="BL193" s="51">
        <f t="shared" si="201"/>
        <v>23.94358450956037</v>
      </c>
      <c r="BM193" s="63">
        <f t="shared" si="202"/>
        <v>54.183201856254485</v>
      </c>
    </row>
    <row r="194" spans="14:65" x14ac:dyDescent="0.3">
      <c r="N194" s="11">
        <v>76</v>
      </c>
      <c r="O194" s="52">
        <f t="shared" si="205"/>
        <v>575.43993733715706</v>
      </c>
      <c r="P194" s="50" t="str">
        <f t="shared" si="155"/>
        <v>23.3035714285714</v>
      </c>
      <c r="Q194" s="18" t="str">
        <f t="shared" si="156"/>
        <v>1+1.93692629970062i</v>
      </c>
      <c r="R194" s="18">
        <f t="shared" si="167"/>
        <v>2.1798356567576227</v>
      </c>
      <c r="S194" s="18">
        <f t="shared" si="168"/>
        <v>1.0942081993310238</v>
      </c>
      <c r="T194" s="18" t="str">
        <f t="shared" si="157"/>
        <v>1+0.00361559575944117i</v>
      </c>
      <c r="U194" s="18">
        <f t="shared" si="169"/>
        <v>1.0000065362449866</v>
      </c>
      <c r="V194" s="18">
        <f t="shared" si="170"/>
        <v>3.6155800045668172E-3</v>
      </c>
      <c r="W194" s="32" t="str">
        <f t="shared" si="158"/>
        <v>1-0.00883812296752286i</v>
      </c>
      <c r="X194" s="18">
        <f t="shared" si="171"/>
        <v>1.0000390554461305</v>
      </c>
      <c r="Y194" s="18">
        <f t="shared" si="172"/>
        <v>-8.8378928559235282E-3</v>
      </c>
      <c r="Z194" s="32" t="str">
        <f t="shared" si="159"/>
        <v>0.999998675475514+0.00433772062249556i</v>
      </c>
      <c r="AA194" s="18">
        <f t="shared" si="173"/>
        <v>1.0000080833538203</v>
      </c>
      <c r="AB194" s="18">
        <f t="shared" si="174"/>
        <v>4.3376991621956133E-3</v>
      </c>
      <c r="AC194" s="68" t="str">
        <f t="shared" si="175"/>
        <v>4.81342199503762-9.54603103914759i</v>
      </c>
      <c r="AD194" s="66">
        <f t="shared" si="176"/>
        <v>20.580300434203277</v>
      </c>
      <c r="AE194" s="63">
        <f t="shared" si="177"/>
        <v>-63.241260070748012</v>
      </c>
      <c r="AF194" s="51" t="e">
        <f t="shared" si="178"/>
        <v>#NUM!</v>
      </c>
      <c r="AG194" s="51" t="str">
        <f t="shared" si="160"/>
        <v>1-2.71169681958088i</v>
      </c>
      <c r="AH194" s="51">
        <f t="shared" si="179"/>
        <v>2.8902075429499972</v>
      </c>
      <c r="AI194" s="51">
        <f t="shared" si="180"/>
        <v>-1.2174962744287083</v>
      </c>
      <c r="AJ194" s="51" t="str">
        <f t="shared" si="161"/>
        <v>1+0.00361559575944117i</v>
      </c>
      <c r="AK194" s="51">
        <f t="shared" si="181"/>
        <v>1.0000065362449866</v>
      </c>
      <c r="AL194" s="51">
        <f t="shared" si="182"/>
        <v>3.6155800045668172E-3</v>
      </c>
      <c r="AM194" s="51" t="e">
        <f t="shared" si="162"/>
        <v>#NUM!</v>
      </c>
      <c r="AN194" s="51" t="e">
        <f t="shared" si="183"/>
        <v>#NUM!</v>
      </c>
      <c r="AO194" s="51" t="e">
        <f t="shared" si="184"/>
        <v>#NUM!</v>
      </c>
      <c r="AP194" s="60" t="e">
        <f t="shared" si="185"/>
        <v>#NUM!</v>
      </c>
      <c r="AQ194" s="51" t="e">
        <f t="shared" si="186"/>
        <v>#NUM!</v>
      </c>
      <c r="AR194" s="63" t="e">
        <f t="shared" si="187"/>
        <v>#NUM!</v>
      </c>
      <c r="AS194" s="32" t="str">
        <f t="shared" si="163"/>
        <v>-0.000170731707317073</v>
      </c>
      <c r="AT194" s="32" t="str">
        <f t="shared" si="164"/>
        <v>0.000137392638858764i</v>
      </c>
      <c r="AU194" s="32">
        <f t="shared" si="188"/>
        <v>1.37392638858764E-4</v>
      </c>
      <c r="AV194" s="32">
        <f t="shared" si="189"/>
        <v>1.5707963267948966</v>
      </c>
      <c r="AW194" s="32" t="str">
        <f t="shared" si="165"/>
        <v>1+0.0292520726390156i</v>
      </c>
      <c r="AX194" s="32">
        <f t="shared" si="190"/>
        <v>1.0004277503916403</v>
      </c>
      <c r="AY194" s="32">
        <f t="shared" si="191"/>
        <v>2.9243733412268724E-2</v>
      </c>
      <c r="AZ194" s="32" t="str">
        <f t="shared" si="166"/>
        <v>1+0.555789380141297i</v>
      </c>
      <c r="BA194" s="32">
        <f t="shared" si="192"/>
        <v>1.1440724780702693</v>
      </c>
      <c r="BB194" s="32">
        <f t="shared" si="193"/>
        <v>0.50727716393355249</v>
      </c>
      <c r="BC194" s="60" t="str">
        <f t="shared" si="194"/>
        <v>-0.653745039879594+1.26177881718381i</v>
      </c>
      <c r="BD194" s="51">
        <f t="shared" si="195"/>
        <v>3.052370533970687</v>
      </c>
      <c r="BE194" s="63">
        <f t="shared" si="196"/>
        <v>117.38929803502978</v>
      </c>
      <c r="BF194" s="60" t="str">
        <f t="shared" si="197"/>
        <v>8.8982289992724+12.3141443538845i</v>
      </c>
      <c r="BG194" s="66">
        <f t="shared" si="198"/>
        <v>23.632670968173972</v>
      </c>
      <c r="BH194" s="63">
        <f t="shared" si="199"/>
        <v>54.148037964281798</v>
      </c>
      <c r="BI194" s="60" t="e">
        <f t="shared" si="203"/>
        <v>#NUM!</v>
      </c>
      <c r="BJ194" s="66" t="e">
        <f t="shared" si="200"/>
        <v>#NUM!</v>
      </c>
      <c r="BK194" s="63" t="e">
        <f t="shared" si="204"/>
        <v>#NUM!</v>
      </c>
      <c r="BL194" s="51">
        <f t="shared" si="201"/>
        <v>23.632670968173972</v>
      </c>
      <c r="BM194" s="63">
        <f t="shared" si="202"/>
        <v>54.148037964281798</v>
      </c>
    </row>
    <row r="195" spans="14:65" x14ac:dyDescent="0.3">
      <c r="N195" s="11">
        <v>77</v>
      </c>
      <c r="O195" s="52">
        <f t="shared" si="205"/>
        <v>588.84365535558959</v>
      </c>
      <c r="P195" s="50" t="str">
        <f t="shared" si="155"/>
        <v>23.3035714285714</v>
      </c>
      <c r="Q195" s="18" t="str">
        <f t="shared" si="156"/>
        <v>1+1.98204310904794i</v>
      </c>
      <c r="R195" s="18">
        <f t="shared" si="167"/>
        <v>2.2200213706458829</v>
      </c>
      <c r="S195" s="18">
        <f t="shared" si="168"/>
        <v>1.1035313727601843</v>
      </c>
      <c r="T195" s="18" t="str">
        <f t="shared" si="157"/>
        <v>1+0.00369981380355616i</v>
      </c>
      <c r="U195" s="18">
        <f t="shared" si="169"/>
        <v>1.0000068442876684</v>
      </c>
      <c r="V195" s="18">
        <f t="shared" si="170"/>
        <v>3.6997969219103796E-3</v>
      </c>
      <c r="W195" s="32" t="str">
        <f t="shared" si="158"/>
        <v>1-0.00904398929758173i</v>
      </c>
      <c r="X195" s="18">
        <f t="shared" si="171"/>
        <v>1.0000408960349645</v>
      </c>
      <c r="Y195" s="18">
        <f t="shared" si="172"/>
        <v>-9.0437427291052697E-3</v>
      </c>
      <c r="Z195" s="32" t="str">
        <f t="shared" si="159"/>
        <v>0.999998613052598+0.00443875911547141i</v>
      </c>
      <c r="AA195" s="18">
        <f t="shared" si="173"/>
        <v>1.0000084643089799</v>
      </c>
      <c r="AB195" s="18">
        <f t="shared" si="174"/>
        <v>4.438736120356156E-3</v>
      </c>
      <c r="AC195" s="68" t="str">
        <f t="shared" si="175"/>
        <v>4.63661064285958-9.41793891857419i</v>
      </c>
      <c r="AD195" s="66">
        <f t="shared" si="176"/>
        <v>20.421647730719808</v>
      </c>
      <c r="AE195" s="63">
        <f t="shared" si="177"/>
        <v>-63.788196606204174</v>
      </c>
      <c r="AF195" s="51" t="e">
        <f t="shared" si="178"/>
        <v>#NUM!</v>
      </c>
      <c r="AG195" s="51" t="str">
        <f t="shared" si="160"/>
        <v>1-2.77486035266713i</v>
      </c>
      <c r="AH195" s="51">
        <f t="shared" si="179"/>
        <v>2.9495508093274045</v>
      </c>
      <c r="AI195" s="51">
        <f t="shared" si="180"/>
        <v>-1.2249057159782193</v>
      </c>
      <c r="AJ195" s="51" t="str">
        <f t="shared" si="161"/>
        <v>1+0.00369981380355616i</v>
      </c>
      <c r="AK195" s="51">
        <f t="shared" si="181"/>
        <v>1.0000068442876684</v>
      </c>
      <c r="AL195" s="51">
        <f t="shared" si="182"/>
        <v>3.6997969219103796E-3</v>
      </c>
      <c r="AM195" s="51" t="e">
        <f t="shared" si="162"/>
        <v>#NUM!</v>
      </c>
      <c r="AN195" s="51" t="e">
        <f t="shared" si="183"/>
        <v>#NUM!</v>
      </c>
      <c r="AO195" s="51" t="e">
        <f t="shared" si="184"/>
        <v>#NUM!</v>
      </c>
      <c r="AP195" s="60" t="e">
        <f t="shared" si="185"/>
        <v>#NUM!</v>
      </c>
      <c r="AQ195" s="51" t="e">
        <f t="shared" si="186"/>
        <v>#NUM!</v>
      </c>
      <c r="AR195" s="63" t="e">
        <f t="shared" si="187"/>
        <v>#NUM!</v>
      </c>
      <c r="AS195" s="32" t="str">
        <f t="shared" si="163"/>
        <v>-0.000170731707317073</v>
      </c>
      <c r="AT195" s="32" t="str">
        <f t="shared" si="164"/>
        <v>0.000140592924535134i</v>
      </c>
      <c r="AU195" s="32">
        <f t="shared" si="188"/>
        <v>1.4059292453513401E-4</v>
      </c>
      <c r="AV195" s="32">
        <f t="shared" si="189"/>
        <v>1.5707963267948966</v>
      </c>
      <c r="AW195" s="32" t="str">
        <f t="shared" si="165"/>
        <v>1+0.0299334409411922i</v>
      </c>
      <c r="AX195" s="32">
        <f t="shared" si="190"/>
        <v>1.0004479051337856</v>
      </c>
      <c r="AY195" s="32">
        <f t="shared" si="191"/>
        <v>2.9924505514792078E-2</v>
      </c>
      <c r="AZ195" s="32" t="str">
        <f t="shared" si="166"/>
        <v>1+0.568735377882653i</v>
      </c>
      <c r="BA195" s="32">
        <f t="shared" si="192"/>
        <v>1.1504172851862597</v>
      </c>
      <c r="BB195" s="32">
        <f t="shared" si="193"/>
        <v>0.51711350532546874</v>
      </c>
      <c r="BC195" s="60" t="str">
        <f t="shared" si="194"/>
        <v>-0.653718699817468+1.23393717913425i</v>
      </c>
      <c r="BD195" s="51">
        <f t="shared" si="195"/>
        <v>2.9002327513546455</v>
      </c>
      <c r="BE195" s="63">
        <f t="shared" si="196"/>
        <v>117.91387351435164</v>
      </c>
      <c r="BF195" s="60" t="str">
        <f t="shared" si="197"/>
        <v>8.59010590143411+11.8779690422046i</v>
      </c>
      <c r="BG195" s="66">
        <f t="shared" si="198"/>
        <v>23.321880482074434</v>
      </c>
      <c r="BH195" s="63">
        <f t="shared" si="199"/>
        <v>54.125676908147355</v>
      </c>
      <c r="BI195" s="60" t="e">
        <f t="shared" si="203"/>
        <v>#NUM!</v>
      </c>
      <c r="BJ195" s="66" t="e">
        <f t="shared" si="200"/>
        <v>#NUM!</v>
      </c>
      <c r="BK195" s="63" t="e">
        <f t="shared" si="204"/>
        <v>#NUM!</v>
      </c>
      <c r="BL195" s="51">
        <f t="shared" si="201"/>
        <v>23.321880482074434</v>
      </c>
      <c r="BM195" s="63">
        <f t="shared" si="202"/>
        <v>54.125676908147355</v>
      </c>
    </row>
    <row r="196" spans="14:65" x14ac:dyDescent="0.3">
      <c r="N196" s="11">
        <v>78</v>
      </c>
      <c r="O196" s="52">
        <f t="shared" si="205"/>
        <v>602.55958607435832</v>
      </c>
      <c r="P196" s="50" t="str">
        <f t="shared" si="155"/>
        <v>23.3035714285714</v>
      </c>
      <c r="Q196" s="18" t="str">
        <f t="shared" si="156"/>
        <v>1+2.02821082388711i</v>
      </c>
      <c r="R196" s="18">
        <f t="shared" si="167"/>
        <v>2.2613356995662608</v>
      </c>
      <c r="S196" s="18">
        <f t="shared" si="168"/>
        <v>1.1127278670712664</v>
      </c>
      <c r="T196" s="18" t="str">
        <f t="shared" si="157"/>
        <v>1+0.00378599353792262i</v>
      </c>
      <c r="U196" s="18">
        <f t="shared" si="169"/>
        <v>1.0000071668478527</v>
      </c>
      <c r="V196" s="18">
        <f t="shared" si="170"/>
        <v>3.7859754489202638E-3</v>
      </c>
      <c r="W196" s="32" t="str">
        <f t="shared" si="158"/>
        <v>1-0.00925465087047752i</v>
      </c>
      <c r="X196" s="18">
        <f t="shared" si="171"/>
        <v>1.0000428233644469</v>
      </c>
      <c r="Y196" s="18">
        <f t="shared" si="172"/>
        <v>-9.2543866682059592E-3</v>
      </c>
      <c r="Z196" s="32" t="str">
        <f t="shared" si="159"/>
        <v>0.999998547687781+0.00454215109728421i</v>
      </c>
      <c r="AA196" s="18">
        <f t="shared" si="173"/>
        <v>1.0000088632178523</v>
      </c>
      <c r="AB196" s="18">
        <f t="shared" si="174"/>
        <v>4.5421264575859974E-3</v>
      </c>
      <c r="AC196" s="68" t="str">
        <f t="shared" si="175"/>
        <v>4.46457138133541-9.28837897721643i</v>
      </c>
      <c r="AD196" s="66">
        <f t="shared" si="176"/>
        <v>20.261506130661804</v>
      </c>
      <c r="AE196" s="63">
        <f t="shared" si="177"/>
        <v>-64.328172089319068</v>
      </c>
      <c r="AF196" s="51" t="e">
        <f t="shared" si="178"/>
        <v>#NUM!</v>
      </c>
      <c r="AG196" s="51" t="str">
        <f t="shared" si="160"/>
        <v>1-2.83949515344197i</v>
      </c>
      <c r="AH196" s="51">
        <f t="shared" si="179"/>
        <v>3.0104372982044376</v>
      </c>
      <c r="AI196" s="51">
        <f t="shared" si="180"/>
        <v>-1.2321849349173386</v>
      </c>
      <c r="AJ196" s="51" t="str">
        <f t="shared" si="161"/>
        <v>1+0.00378599353792262i</v>
      </c>
      <c r="AK196" s="51">
        <f t="shared" si="181"/>
        <v>1.0000071668478527</v>
      </c>
      <c r="AL196" s="51">
        <f t="shared" si="182"/>
        <v>3.7859754489202638E-3</v>
      </c>
      <c r="AM196" s="51" t="e">
        <f t="shared" si="162"/>
        <v>#NUM!</v>
      </c>
      <c r="AN196" s="51" t="e">
        <f t="shared" si="183"/>
        <v>#NUM!</v>
      </c>
      <c r="AO196" s="51" t="e">
        <f t="shared" si="184"/>
        <v>#NUM!</v>
      </c>
      <c r="AP196" s="60" t="e">
        <f t="shared" si="185"/>
        <v>#NUM!</v>
      </c>
      <c r="AQ196" s="51" t="e">
        <f t="shared" si="186"/>
        <v>#NUM!</v>
      </c>
      <c r="AR196" s="63" t="e">
        <f t="shared" si="187"/>
        <v>#NUM!</v>
      </c>
      <c r="AS196" s="32" t="str">
        <f t="shared" si="163"/>
        <v>-0.000170731707317073</v>
      </c>
      <c r="AT196" s="32" t="str">
        <f t="shared" si="164"/>
        <v>0.00014386775444106i</v>
      </c>
      <c r="AU196" s="32">
        <f t="shared" si="188"/>
        <v>1.4386775444106E-4</v>
      </c>
      <c r="AV196" s="32">
        <f t="shared" si="189"/>
        <v>1.5707963267948966</v>
      </c>
      <c r="AW196" s="32" t="str">
        <f t="shared" si="165"/>
        <v>1+0.0306306803499718i</v>
      </c>
      <c r="AX196" s="32">
        <f t="shared" si="190"/>
        <v>1.0004690093044872</v>
      </c>
      <c r="AY196" s="32">
        <f t="shared" si="191"/>
        <v>3.0621106110481244E-2</v>
      </c>
      <c r="AZ196" s="32" t="str">
        <f t="shared" si="166"/>
        <v>1+0.581982926649465i</v>
      </c>
      <c r="BA196" s="32">
        <f t="shared" si="192"/>
        <v>1.1570238229662675</v>
      </c>
      <c r="BB196" s="32">
        <f t="shared" si="193"/>
        <v>0.52706629891759882</v>
      </c>
      <c r="BC196" s="60" t="str">
        <f t="shared" si="194"/>
        <v>-0.653691120661302+1.20674971664325i</v>
      </c>
      <c r="BD196" s="51">
        <f t="shared" si="195"/>
        <v>2.7497875805375536</v>
      </c>
      <c r="BE196" s="63">
        <f t="shared" si="196"/>
        <v>118.44421430740621</v>
      </c>
      <c r="BF196" s="60" t="str">
        <f t="shared" si="197"/>
        <v>8.29029802929353+11.4593511121036i</v>
      </c>
      <c r="BG196" s="66">
        <f t="shared" si="198"/>
        <v>23.011293711199382</v>
      </c>
      <c r="BH196" s="63">
        <f t="shared" si="199"/>
        <v>54.116042218087252</v>
      </c>
      <c r="BI196" s="60" t="e">
        <f t="shared" si="203"/>
        <v>#NUM!</v>
      </c>
      <c r="BJ196" s="66" t="e">
        <f t="shared" si="200"/>
        <v>#NUM!</v>
      </c>
      <c r="BK196" s="63" t="e">
        <f t="shared" si="204"/>
        <v>#NUM!</v>
      </c>
      <c r="BL196" s="51">
        <f t="shared" si="201"/>
        <v>23.011293711199382</v>
      </c>
      <c r="BM196" s="63">
        <f t="shared" si="202"/>
        <v>54.116042218087252</v>
      </c>
    </row>
    <row r="197" spans="14:65" x14ac:dyDescent="0.3">
      <c r="N197" s="11">
        <v>79</v>
      </c>
      <c r="O197" s="52">
        <f t="shared" si="205"/>
        <v>616.59500186148273</v>
      </c>
      <c r="P197" s="50" t="str">
        <f t="shared" si="155"/>
        <v>23.3035714285714</v>
      </c>
      <c r="Q197" s="18" t="str">
        <f t="shared" si="156"/>
        <v>1+2.07545392295166i</v>
      </c>
      <c r="R197" s="18">
        <f t="shared" si="167"/>
        <v>2.3038031570200252</v>
      </c>
      <c r="S197" s="18">
        <f t="shared" si="168"/>
        <v>1.1217963350396098</v>
      </c>
      <c r="T197" s="18" t="str">
        <f t="shared" si="157"/>
        <v>1+0.00387418065617644i</v>
      </c>
      <c r="U197" s="18">
        <f t="shared" si="169"/>
        <v>1.0000075046097188</v>
      </c>
      <c r="V197" s="18">
        <f t="shared" si="170"/>
        <v>3.8741612734690587E-3</v>
      </c>
      <c r="W197" s="32" t="str">
        <f t="shared" si="158"/>
        <v>1-0.00947021938176463i</v>
      </c>
      <c r="X197" s="18">
        <f t="shared" si="171"/>
        <v>1.0000448415221883</v>
      </c>
      <c r="Y197" s="18">
        <f t="shared" si="172"/>
        <v>-9.4699362846157476E-3</v>
      </c>
      <c r="Z197" s="32" t="str">
        <f t="shared" si="159"/>
        <v>0.999998479242415+0.00464795138773128i</v>
      </c>
      <c r="AA197" s="18">
        <f t="shared" si="173"/>
        <v>1.0000092809265548</v>
      </c>
      <c r="AB197" s="18">
        <f t="shared" si="174"/>
        <v>4.6479249858321055E-3</v>
      </c>
      <c r="AC197" s="68" t="str">
        <f t="shared" si="175"/>
        <v>4.29728863911112-9.15754546394117i</v>
      </c>
      <c r="AD197" s="66">
        <f t="shared" si="176"/>
        <v>20.099916362829205</v>
      </c>
      <c r="AE197" s="63">
        <f t="shared" si="177"/>
        <v>-64.861116247438417</v>
      </c>
      <c r="AF197" s="51" t="e">
        <f t="shared" si="178"/>
        <v>#NUM!</v>
      </c>
      <c r="AG197" s="51" t="str">
        <f t="shared" si="160"/>
        <v>1-2.90563549213234i</v>
      </c>
      <c r="AH197" s="51">
        <f t="shared" si="179"/>
        <v>3.0729005211915252</v>
      </c>
      <c r="AI197" s="51">
        <f t="shared" si="180"/>
        <v>-1.2393347041961706</v>
      </c>
      <c r="AJ197" s="51" t="str">
        <f t="shared" si="161"/>
        <v>1+0.00387418065617644i</v>
      </c>
      <c r="AK197" s="51">
        <f t="shared" si="181"/>
        <v>1.0000075046097188</v>
      </c>
      <c r="AL197" s="51">
        <f t="shared" si="182"/>
        <v>3.8741612734690587E-3</v>
      </c>
      <c r="AM197" s="51" t="e">
        <f t="shared" si="162"/>
        <v>#NUM!</v>
      </c>
      <c r="AN197" s="51" t="e">
        <f t="shared" si="183"/>
        <v>#NUM!</v>
      </c>
      <c r="AO197" s="51" t="e">
        <f t="shared" si="184"/>
        <v>#NUM!</v>
      </c>
      <c r="AP197" s="60" t="e">
        <f t="shared" si="185"/>
        <v>#NUM!</v>
      </c>
      <c r="AQ197" s="51" t="e">
        <f t="shared" si="186"/>
        <v>#NUM!</v>
      </c>
      <c r="AR197" s="63" t="e">
        <f t="shared" si="187"/>
        <v>#NUM!</v>
      </c>
      <c r="AS197" s="32" t="str">
        <f t="shared" si="163"/>
        <v>-0.000170731707317073</v>
      </c>
      <c r="AT197" s="32" t="str">
        <f t="shared" si="164"/>
        <v>0.000147218864934705i</v>
      </c>
      <c r="AU197" s="32">
        <f t="shared" si="188"/>
        <v>1.4721886493470501E-4</v>
      </c>
      <c r="AV197" s="32">
        <f t="shared" si="189"/>
        <v>1.5707963267948966</v>
      </c>
      <c r="AW197" s="32" t="str">
        <f t="shared" si="165"/>
        <v>1+0.031344160550918i</v>
      </c>
      <c r="AX197" s="32">
        <f t="shared" si="190"/>
        <v>1.00049110760698</v>
      </c>
      <c r="AY197" s="32">
        <f t="shared" si="191"/>
        <v>3.1333901840428828E-2</v>
      </c>
      <c r="AZ197" s="32" t="str">
        <f t="shared" si="166"/>
        <v>1+0.595539050467443i</v>
      </c>
      <c r="BA197" s="32">
        <f t="shared" si="192"/>
        <v>1.1639015253154641</v>
      </c>
      <c r="BB197" s="32">
        <f t="shared" si="193"/>
        <v>0.53713293395090611</v>
      </c>
      <c r="BC197" s="60" t="str">
        <f t="shared" si="194"/>
        <v>-0.653662244233558+1.18020200925689i</v>
      </c>
      <c r="BD197" s="51">
        <f t="shared" si="195"/>
        <v>2.6010744538405444</v>
      </c>
      <c r="BE197" s="63">
        <f t="shared" si="196"/>
        <v>118.98014982173241</v>
      </c>
      <c r="BF197" s="60" t="str">
        <f t="shared" si="197"/>
        <v>7.99877822044394+11.0576104058664i</v>
      </c>
      <c r="BG197" s="66">
        <f t="shared" si="198"/>
        <v>22.700990816669766</v>
      </c>
      <c r="BH197" s="63">
        <f t="shared" si="199"/>
        <v>54.119033574294079</v>
      </c>
      <c r="BI197" s="60" t="e">
        <f t="shared" si="203"/>
        <v>#NUM!</v>
      </c>
      <c r="BJ197" s="66" t="e">
        <f t="shared" si="200"/>
        <v>#NUM!</v>
      </c>
      <c r="BK197" s="63" t="e">
        <f t="shared" si="204"/>
        <v>#NUM!</v>
      </c>
      <c r="BL197" s="51">
        <f t="shared" si="201"/>
        <v>22.700990816669766</v>
      </c>
      <c r="BM197" s="63">
        <f t="shared" si="202"/>
        <v>54.119033574294079</v>
      </c>
    </row>
    <row r="198" spans="14:65" x14ac:dyDescent="0.3">
      <c r="N198" s="11">
        <v>80</v>
      </c>
      <c r="O198" s="52">
        <f t="shared" si="205"/>
        <v>630.95734448019323</v>
      </c>
      <c r="P198" s="50" t="str">
        <f t="shared" si="155"/>
        <v>23.3035714285714</v>
      </c>
      <c r="Q198" s="18" t="str">
        <f t="shared" si="156"/>
        <v>1+2.12379745515803i</v>
      </c>
      <c r="R198" s="18">
        <f t="shared" si="167"/>
        <v>2.3474487492884113</v>
      </c>
      <c r="S198" s="18">
        <f t="shared" si="168"/>
        <v>1.1307356177968615</v>
      </c>
      <c r="T198" s="18" t="str">
        <f t="shared" si="157"/>
        <v>1+0.003964421916295i</v>
      </c>
      <c r="U198" s="18">
        <f t="shared" si="169"/>
        <v>1.0000078582896887</v>
      </c>
      <c r="V198" s="18">
        <f t="shared" si="170"/>
        <v>3.964401147358668E-3</v>
      </c>
      <c r="W198" s="32" t="str">
        <f t="shared" si="158"/>
        <v>1-0.00969080912872111i</v>
      </c>
      <c r="X198" s="18">
        <f t="shared" si="171"/>
        <v>1.0000469547884085</v>
      </c>
      <c r="Y198" s="18">
        <f t="shared" si="172"/>
        <v>-9.6905057854300564E-3</v>
      </c>
      <c r="Z198" s="32" t="str">
        <f t="shared" si="159"/>
        <v>0.999998407571318+0.00475621608352702i</v>
      </c>
      <c r="AA198" s="18">
        <f t="shared" si="173"/>
        <v>1.0000097183210797</v>
      </c>
      <c r="AB198" s="18">
        <f t="shared" si="174"/>
        <v>4.7561877933971009E-3</v>
      </c>
      <c r="AC198" s="68" t="str">
        <f t="shared" si="175"/>
        <v>4.13473788987094-9.02562720056236i</v>
      </c>
      <c r="AD198" s="66">
        <f t="shared" si="176"/>
        <v>19.936918986000393</v>
      </c>
      <c r="AE198" s="63">
        <f t="shared" si="177"/>
        <v>-65.386969760822865</v>
      </c>
      <c r="AF198" s="51" t="e">
        <f t="shared" si="178"/>
        <v>#NUM!</v>
      </c>
      <c r="AG198" s="51" t="str">
        <f t="shared" si="160"/>
        <v>1-2.97331643722126i</v>
      </c>
      <c r="AH198" s="51">
        <f t="shared" si="179"/>
        <v>3.1369747585612044</v>
      </c>
      <c r="AI198" s="51">
        <f t="shared" si="180"/>
        <v>-1.2463558898611216</v>
      </c>
      <c r="AJ198" s="51" t="str">
        <f t="shared" si="161"/>
        <v>1+0.003964421916295i</v>
      </c>
      <c r="AK198" s="51">
        <f t="shared" si="181"/>
        <v>1.0000078582896887</v>
      </c>
      <c r="AL198" s="51">
        <f t="shared" si="182"/>
        <v>3.964401147358668E-3</v>
      </c>
      <c r="AM198" s="51" t="e">
        <f t="shared" si="162"/>
        <v>#NUM!</v>
      </c>
      <c r="AN198" s="51" t="e">
        <f t="shared" si="183"/>
        <v>#NUM!</v>
      </c>
      <c r="AO198" s="51" t="e">
        <f t="shared" si="184"/>
        <v>#NUM!</v>
      </c>
      <c r="AP198" s="60" t="e">
        <f t="shared" si="185"/>
        <v>#NUM!</v>
      </c>
      <c r="AQ198" s="51" t="e">
        <f t="shared" si="186"/>
        <v>#NUM!</v>
      </c>
      <c r="AR198" s="63" t="e">
        <f t="shared" si="187"/>
        <v>#NUM!</v>
      </c>
      <c r="AS198" s="32" t="str">
        <f t="shared" si="163"/>
        <v>-0.000170731707317073</v>
      </c>
      <c r="AT198" s="32" t="str">
        <f t="shared" si="164"/>
        <v>0.00015064803281921i</v>
      </c>
      <c r="AU198" s="32">
        <f t="shared" si="188"/>
        <v>1.5064803281920999E-4</v>
      </c>
      <c r="AV198" s="32">
        <f t="shared" si="189"/>
        <v>1.5707963267948966</v>
      </c>
      <c r="AW198" s="32" t="str">
        <f t="shared" si="165"/>
        <v>1+0.0320742598406772i</v>
      </c>
      <c r="AX198" s="32">
        <f t="shared" si="190"/>
        <v>1.0005142468472537</v>
      </c>
      <c r="AY198" s="32">
        <f t="shared" si="191"/>
        <v>3.2063267739463303E-2</v>
      </c>
      <c r="AZ198" s="32" t="str">
        <f t="shared" si="166"/>
        <v>1+0.609410936972868i</v>
      </c>
      <c r="BA198" s="32">
        <f t="shared" si="192"/>
        <v>1.1710600710903556</v>
      </c>
      <c r="BB198" s="32">
        <f t="shared" si="193"/>
        <v>0.54731058634443319</v>
      </c>
      <c r="BC198" s="60" t="str">
        <f t="shared" si="194"/>
        <v>-0.653632009635959+1.15427997534996i</v>
      </c>
      <c r="BD198" s="51">
        <f t="shared" si="195"/>
        <v>2.4541322903120686</v>
      </c>
      <c r="BE198" s="63">
        <f t="shared" si="196"/>
        <v>119.52149676149722</v>
      </c>
      <c r="BF198" s="60" t="str">
        <f t="shared" si="197"/>
        <v>7.71550370630876+10.6720839949273i</v>
      </c>
      <c r="BG198" s="66">
        <f t="shared" si="198"/>
        <v>22.391051276312453</v>
      </c>
      <c r="BH198" s="63">
        <f t="shared" si="199"/>
        <v>54.134527000674304</v>
      </c>
      <c r="BI198" s="60" t="e">
        <f t="shared" si="203"/>
        <v>#NUM!</v>
      </c>
      <c r="BJ198" s="66" t="e">
        <f t="shared" si="200"/>
        <v>#NUM!</v>
      </c>
      <c r="BK198" s="63" t="e">
        <f t="shared" si="204"/>
        <v>#NUM!</v>
      </c>
      <c r="BL198" s="51">
        <f t="shared" si="201"/>
        <v>22.391051276312453</v>
      </c>
      <c r="BM198" s="63">
        <f t="shared" si="202"/>
        <v>54.134527000674304</v>
      </c>
    </row>
    <row r="199" spans="14:65" x14ac:dyDescent="0.3">
      <c r="N199" s="11">
        <v>81</v>
      </c>
      <c r="O199" s="52">
        <f t="shared" si="205"/>
        <v>645.65422903465594</v>
      </c>
      <c r="P199" s="50" t="str">
        <f t="shared" si="155"/>
        <v>23.3035714285714</v>
      </c>
      <c r="Q199" s="18" t="str">
        <f t="shared" si="156"/>
        <v>1+2.17326705288691i</v>
      </c>
      <c r="R199" s="18">
        <f t="shared" si="167"/>
        <v>2.3922979921330363</v>
      </c>
      <c r="S199" s="18">
        <f t="shared" si="168"/>
        <v>1.1395447393101801</v>
      </c>
      <c r="T199" s="18" t="str">
        <f t="shared" si="157"/>
        <v>1+0.00405676516538891i</v>
      </c>
      <c r="U199" s="18">
        <f t="shared" si="169"/>
        <v>1.0000082286379484</v>
      </c>
      <c r="V199" s="18">
        <f t="shared" si="170"/>
        <v>4.0567429110825717E-3</v>
      </c>
      <c r="W199" s="32" t="str">
        <f t="shared" si="158"/>
        <v>1-0.00991653707095067i</v>
      </c>
      <c r="X199" s="18">
        <f t="shared" si="171"/>
        <v>1.0000491676450112</v>
      </c>
      <c r="Y199" s="18">
        <f t="shared" si="172"/>
        <v>-9.91621203362128E-3</v>
      </c>
      <c r="Z199" s="32" t="str">
        <f t="shared" si="159"/>
        <v>0.999998332522466+0.00486700258804621i</v>
      </c>
      <c r="AA199" s="18">
        <f t="shared" si="173"/>
        <v>1.0000101763291733</v>
      </c>
      <c r="AB199" s="18">
        <f t="shared" si="174"/>
        <v>4.8669722746423946E-3</v>
      </c>
      <c r="AC199" s="68" t="str">
        <f t="shared" si="175"/>
        <v>3.97688622778573-8.89280721494947i</v>
      </c>
      <c r="AD199" s="66">
        <f t="shared" si="176"/>
        <v>19.772554314981871</v>
      </c>
      <c r="AE199" s="63">
        <f t="shared" si="177"/>
        <v>-65.905683950061842</v>
      </c>
      <c r="AF199" s="51" t="e">
        <f t="shared" si="178"/>
        <v>#NUM!</v>
      </c>
      <c r="AG199" s="51" t="str">
        <f t="shared" si="160"/>
        <v>1-3.04257387404169i</v>
      </c>
      <c r="AH199" s="51">
        <f t="shared" si="179"/>
        <v>3.2026950805534171</v>
      </c>
      <c r="AI199" s="51">
        <f t="shared" si="180"/>
        <v>-1.2532494447401215</v>
      </c>
      <c r="AJ199" s="51" t="str">
        <f t="shared" si="161"/>
        <v>1+0.00405676516538891i</v>
      </c>
      <c r="AK199" s="51">
        <f t="shared" si="181"/>
        <v>1.0000082286379484</v>
      </c>
      <c r="AL199" s="51">
        <f t="shared" si="182"/>
        <v>4.0567429110825717E-3</v>
      </c>
      <c r="AM199" s="51" t="e">
        <f t="shared" si="162"/>
        <v>#NUM!</v>
      </c>
      <c r="AN199" s="51" t="e">
        <f t="shared" si="183"/>
        <v>#NUM!</v>
      </c>
      <c r="AO199" s="51" t="e">
        <f t="shared" si="184"/>
        <v>#NUM!</v>
      </c>
      <c r="AP199" s="60" t="e">
        <f t="shared" si="185"/>
        <v>#NUM!</v>
      </c>
      <c r="AQ199" s="51" t="e">
        <f t="shared" si="186"/>
        <v>#NUM!</v>
      </c>
      <c r="AR199" s="63" t="e">
        <f t="shared" si="187"/>
        <v>#NUM!</v>
      </c>
      <c r="AS199" s="32" t="str">
        <f t="shared" si="163"/>
        <v>-0.000170731707317073</v>
      </c>
      <c r="AT199" s="32" t="str">
        <f t="shared" si="164"/>
        <v>0.000154157076284779i</v>
      </c>
      <c r="AU199" s="32">
        <f t="shared" si="188"/>
        <v>1.5415707628477901E-4</v>
      </c>
      <c r="AV199" s="32">
        <f t="shared" si="189"/>
        <v>1.5707963267948966</v>
      </c>
      <c r="AW199" s="32" t="str">
        <f t="shared" si="165"/>
        <v>1+0.032821365327557i</v>
      </c>
      <c r="AX199" s="32">
        <f t="shared" si="190"/>
        <v>1.0005384760327636</v>
      </c>
      <c r="AY199" s="32">
        <f t="shared" si="191"/>
        <v>3.2809587421230642E-2</v>
      </c>
      <c r="AZ199" s="32" t="str">
        <f t="shared" si="166"/>
        <v>1+0.623605941223584i</v>
      </c>
      <c r="BA199" s="32">
        <f t="shared" si="192"/>
        <v>1.1785093847438604</v>
      </c>
      <c r="BB199" s="32">
        <f t="shared" si="193"/>
        <v>0.5575962179634002</v>
      </c>
      <c r="BC199" s="60" t="str">
        <f t="shared" si="194"/>
        <v>-0.653600353123307+1.12896986463276i</v>
      </c>
      <c r="BD199" s="51">
        <f t="shared" si="195"/>
        <v>2.3089993870496275</v>
      </c>
      <c r="BE199" s="63">
        <f t="shared" si="196"/>
        <v>120.06805907495763</v>
      </c>
      <c r="BF199" s="60" t="str">
        <f t="shared" si="197"/>
        <v>7.44041711485476+10.3021266421916i</v>
      </c>
      <c r="BG199" s="66">
        <f t="shared" si="198"/>
        <v>22.081553702031496</v>
      </c>
      <c r="BH199" s="63">
        <f t="shared" si="199"/>
        <v>54.162375124895796</v>
      </c>
      <c r="BI199" s="60" t="e">
        <f t="shared" si="203"/>
        <v>#NUM!</v>
      </c>
      <c r="BJ199" s="66" t="e">
        <f t="shared" si="200"/>
        <v>#NUM!</v>
      </c>
      <c r="BK199" s="63" t="e">
        <f t="shared" si="204"/>
        <v>#NUM!</v>
      </c>
      <c r="BL199" s="51">
        <f t="shared" si="201"/>
        <v>22.081553702031496</v>
      </c>
      <c r="BM199" s="63">
        <f t="shared" si="202"/>
        <v>54.162375124895796</v>
      </c>
    </row>
    <row r="200" spans="14:65" x14ac:dyDescent="0.3">
      <c r="N200" s="11">
        <v>82</v>
      </c>
      <c r="O200" s="52">
        <f t="shared" si="205"/>
        <v>660.69344800759643</v>
      </c>
      <c r="P200" s="50" t="str">
        <f t="shared" si="155"/>
        <v>23.3035714285714</v>
      </c>
      <c r="Q200" s="18" t="str">
        <f t="shared" si="156"/>
        <v>1+2.22388894557383i</v>
      </c>
      <c r="R200" s="18">
        <f t="shared" si="167"/>
        <v>2.4383769278447258</v>
      </c>
      <c r="S200" s="18">
        <f t="shared" si="168"/>
        <v>1.1482229005270659</v>
      </c>
      <c r="T200" s="18" t="str">
        <f t="shared" si="157"/>
        <v>1+0.00415125936507115i</v>
      </c>
      <c r="U200" s="18">
        <f t="shared" si="169"/>
        <v>1.0000086164400366</v>
      </c>
      <c r="V200" s="18">
        <f t="shared" si="170"/>
        <v>4.1512355191633803E-3</v>
      </c>
      <c r="W200" s="32" t="str">
        <f t="shared" si="158"/>
        <v>1-0.0101475228923961i</v>
      </c>
      <c r="X200" s="18">
        <f t="shared" si="171"/>
        <v>1.0000514847850843</v>
      </c>
      <c r="Y200" s="18">
        <f t="shared" si="172"/>
        <v>-1.0147174609591128E-2</v>
      </c>
      <c r="Z200" s="32" t="str">
        <f t="shared" si="159"/>
        <v>0.999998253936671+0.00498036964175998i</v>
      </c>
      <c r="AA200" s="18">
        <f t="shared" si="173"/>
        <v>1.0000106559223052</v>
      </c>
      <c r="AB200" s="18">
        <f t="shared" si="174"/>
        <v>4.9803371603811403E-3</v>
      </c>
      <c r="AC200" s="68" t="str">
        <f t="shared" si="175"/>
        <v>3.82369294822523-8.75926242751698i</v>
      </c>
      <c r="AD200" s="66">
        <f t="shared" si="176"/>
        <v>19.606862351602715</v>
      </c>
      <c r="AE200" s="63">
        <f t="shared" si="177"/>
        <v>-66.417220444411612</v>
      </c>
      <c r="AF200" s="51" t="e">
        <f t="shared" si="178"/>
        <v>#NUM!</v>
      </c>
      <c r="AG200" s="51" t="str">
        <f t="shared" si="160"/>
        <v>1-3.11344452380337i</v>
      </c>
      <c r="AH200" s="51">
        <f t="shared" si="179"/>
        <v>3.2700973690092461</v>
      </c>
      <c r="AI200" s="51">
        <f t="shared" si="180"/>
        <v>-1.2600164022902978</v>
      </c>
      <c r="AJ200" s="51" t="str">
        <f t="shared" si="161"/>
        <v>1+0.00415125936507115i</v>
      </c>
      <c r="AK200" s="51">
        <f t="shared" si="181"/>
        <v>1.0000086164400366</v>
      </c>
      <c r="AL200" s="51">
        <f t="shared" si="182"/>
        <v>4.1512355191633803E-3</v>
      </c>
      <c r="AM200" s="51" t="e">
        <f t="shared" si="162"/>
        <v>#NUM!</v>
      </c>
      <c r="AN200" s="51" t="e">
        <f t="shared" si="183"/>
        <v>#NUM!</v>
      </c>
      <c r="AO200" s="51" t="e">
        <f t="shared" si="184"/>
        <v>#NUM!</v>
      </c>
      <c r="AP200" s="60" t="e">
        <f t="shared" si="185"/>
        <v>#NUM!</v>
      </c>
      <c r="AQ200" s="51" t="e">
        <f t="shared" si="186"/>
        <v>#NUM!</v>
      </c>
      <c r="AR200" s="63" t="e">
        <f t="shared" si="187"/>
        <v>#NUM!</v>
      </c>
      <c r="AS200" s="32" t="str">
        <f t="shared" si="163"/>
        <v>-0.000170731707317073</v>
      </c>
      <c r="AT200" s="32" t="str">
        <f t="shared" si="164"/>
        <v>0.000157747855872704i</v>
      </c>
      <c r="AU200" s="32">
        <f t="shared" si="188"/>
        <v>1.57747855872704E-4</v>
      </c>
      <c r="AV200" s="32">
        <f t="shared" si="189"/>
        <v>1.5707963267948966</v>
      </c>
      <c r="AW200" s="32" t="str">
        <f t="shared" si="165"/>
        <v>1+0.0335858731367756i</v>
      </c>
      <c r="AX200" s="32">
        <f t="shared" si="190"/>
        <v>1.0005638464757558</v>
      </c>
      <c r="AY200" s="32">
        <f t="shared" si="191"/>
        <v>3.3573253266844398E-2</v>
      </c>
      <c r="AZ200" s="32" t="str">
        <f t="shared" si="166"/>
        <v>1+0.638131589598737i</v>
      </c>
      <c r="BA200" s="32">
        <f t="shared" si="192"/>
        <v>1.1862596366916522</v>
      </c>
      <c r="BB200" s="32">
        <f t="shared" si="193"/>
        <v>0.56798657670816022</v>
      </c>
      <c r="BC200" s="60" t="str">
        <f t="shared" si="194"/>
        <v>-0.653567207971545+1.10425825083183i</v>
      </c>
      <c r="BD200" s="51">
        <f t="shared" si="195"/>
        <v>2.165713307967664</v>
      </c>
      <c r="BE200" s="63">
        <f t="shared" si="196"/>
        <v>120.61962794874725</v>
      </c>
      <c r="BF200" s="60" t="str">
        <f t="shared" si="197"/>
        <v>7.17344748247482+9.94711117536752i</v>
      </c>
      <c r="BG200" s="66">
        <f t="shared" si="198"/>
        <v>21.772575659570371</v>
      </c>
      <c r="BH200" s="63">
        <f t="shared" si="199"/>
        <v>54.202407504335639</v>
      </c>
      <c r="BI200" s="60" t="e">
        <f t="shared" si="203"/>
        <v>#NUM!</v>
      </c>
      <c r="BJ200" s="66" t="e">
        <f t="shared" si="200"/>
        <v>#NUM!</v>
      </c>
      <c r="BK200" s="63" t="e">
        <f t="shared" si="204"/>
        <v>#NUM!</v>
      </c>
      <c r="BL200" s="51">
        <f t="shared" si="201"/>
        <v>21.772575659570371</v>
      </c>
      <c r="BM200" s="63">
        <f t="shared" si="202"/>
        <v>54.202407504335639</v>
      </c>
    </row>
    <row r="201" spans="14:65" x14ac:dyDescent="0.3">
      <c r="N201" s="11">
        <v>83</v>
      </c>
      <c r="O201" s="52">
        <f t="shared" si="205"/>
        <v>676.08297539198213</v>
      </c>
      <c r="P201" s="50" t="str">
        <f t="shared" si="155"/>
        <v>23.3035714285714</v>
      </c>
      <c r="Q201" s="18" t="str">
        <f t="shared" si="156"/>
        <v>1+2.27568997361633i</v>
      </c>
      <c r="R201" s="18">
        <f t="shared" si="167"/>
        <v>2.4857121426299331</v>
      </c>
      <c r="S201" s="18">
        <f t="shared" si="168"/>
        <v>1.1567694732374465</v>
      </c>
      <c r="T201" s="18" t="str">
        <f t="shared" si="157"/>
        <v>1+0.00424795461741716i</v>
      </c>
      <c r="U201" s="18">
        <f t="shared" si="169"/>
        <v>1.000009022518513</v>
      </c>
      <c r="V201" s="18">
        <f t="shared" si="170"/>
        <v>4.2479290660790842E-3</v>
      </c>
      <c r="W201" s="32" t="str">
        <f t="shared" si="158"/>
        <v>1-0.0103838890647975i</v>
      </c>
      <c r="X201" s="18">
        <f t="shared" si="171"/>
        <v>1.0000539111228504</v>
      </c>
      <c r="Y201" s="18">
        <f t="shared" si="172"/>
        <v>-1.0383515874134837E-2</v>
      </c>
      <c r="Z201" s="32" t="str">
        <f t="shared" si="159"/>
        <v>0.999998171647242+0.0050963773533808i</v>
      </c>
      <c r="AA201" s="18">
        <f t="shared" si="173"/>
        <v>1.0000111581177258</v>
      </c>
      <c r="AB201" s="18">
        <f t="shared" si="174"/>
        <v>5.0963425489771305E-3</v>
      </c>
      <c r="AC201" s="68" t="str">
        <f t="shared" si="175"/>
        <v>3.67511012921476-8.62516338926306i</v>
      </c>
      <c r="AD201" s="66">
        <f t="shared" si="176"/>
        <v>19.439882720677716</v>
      </c>
      <c r="AE201" s="63">
        <f t="shared" si="177"/>
        <v>-66.92155083402416</v>
      </c>
      <c r="AF201" s="51" t="e">
        <f t="shared" si="178"/>
        <v>#NUM!</v>
      </c>
      <c r="AG201" s="51" t="str">
        <f t="shared" si="160"/>
        <v>1-3.18596596306288i</v>
      </c>
      <c r="AH201" s="51">
        <f t="shared" si="179"/>
        <v>3.3392183393415866</v>
      </c>
      <c r="AI201" s="51">
        <f t="shared" si="180"/>
        <v>-1.2666578706212053</v>
      </c>
      <c r="AJ201" s="51" t="str">
        <f t="shared" si="161"/>
        <v>1+0.00424795461741716i</v>
      </c>
      <c r="AK201" s="51">
        <f t="shared" si="181"/>
        <v>1.000009022518513</v>
      </c>
      <c r="AL201" s="51">
        <f t="shared" si="182"/>
        <v>4.2479290660790842E-3</v>
      </c>
      <c r="AM201" s="51" t="e">
        <f t="shared" si="162"/>
        <v>#NUM!</v>
      </c>
      <c r="AN201" s="51" t="e">
        <f t="shared" si="183"/>
        <v>#NUM!</v>
      </c>
      <c r="AO201" s="51" t="e">
        <f t="shared" si="184"/>
        <v>#NUM!</v>
      </c>
      <c r="AP201" s="60" t="e">
        <f t="shared" si="185"/>
        <v>#NUM!</v>
      </c>
      <c r="AQ201" s="51" t="e">
        <f t="shared" si="186"/>
        <v>#NUM!</v>
      </c>
      <c r="AR201" s="63" t="e">
        <f t="shared" si="187"/>
        <v>#NUM!</v>
      </c>
      <c r="AS201" s="32" t="str">
        <f t="shared" si="163"/>
        <v>-0.000170731707317073</v>
      </c>
      <c r="AT201" s="32" t="str">
        <f t="shared" si="164"/>
        <v>0.000161422275461852i</v>
      </c>
      <c r="AU201" s="32">
        <f t="shared" si="188"/>
        <v>1.6142227546185199E-4</v>
      </c>
      <c r="AV201" s="32">
        <f t="shared" si="189"/>
        <v>1.5707963267948966</v>
      </c>
      <c r="AW201" s="32" t="str">
        <f t="shared" si="165"/>
        <v>1+0.0343681886204929i</v>
      </c>
      <c r="AX201" s="32">
        <f t="shared" si="190"/>
        <v>1.0005904119014202</v>
      </c>
      <c r="AY201" s="32">
        <f t="shared" si="191"/>
        <v>3.4354666617136813E-2</v>
      </c>
      <c r="AZ201" s="32" t="str">
        <f t="shared" si="166"/>
        <v>1+0.652995583789366i</v>
      </c>
      <c r="BA201" s="32">
        <f t="shared" si="192"/>
        <v>1.1943212434049788</v>
      </c>
      <c r="BB201" s="32">
        <f t="shared" si="193"/>
        <v>0.57847819746649409</v>
      </c>
      <c r="BC201" s="60" t="str">
        <f t="shared" si="194"/>
        <v>-0.653532504339789+1.08013202454026i</v>
      </c>
      <c r="BD201" s="51">
        <f t="shared" si="195"/>
        <v>2.0243107705332077</v>
      </c>
      <c r="BE201" s="63">
        <f t="shared" si="196"/>
        <v>121.17598185142454</v>
      </c>
      <c r="BF201" s="60" t="str">
        <f t="shared" si="197"/>
        <v>6.91451126716499+9.6064287744021i</v>
      </c>
      <c r="BG201" s="66">
        <f t="shared" si="198"/>
        <v>21.464193491210921</v>
      </c>
      <c r="BH201" s="63">
        <f t="shared" si="199"/>
        <v>54.254431017400371</v>
      </c>
      <c r="BI201" s="60" t="e">
        <f t="shared" si="203"/>
        <v>#NUM!</v>
      </c>
      <c r="BJ201" s="66" t="e">
        <f t="shared" si="200"/>
        <v>#NUM!</v>
      </c>
      <c r="BK201" s="63" t="e">
        <f t="shared" si="204"/>
        <v>#NUM!</v>
      </c>
      <c r="BL201" s="51">
        <f t="shared" si="201"/>
        <v>21.464193491210921</v>
      </c>
      <c r="BM201" s="63">
        <f t="shared" si="202"/>
        <v>54.254431017400371</v>
      </c>
    </row>
    <row r="202" spans="14:65" x14ac:dyDescent="0.3">
      <c r="N202" s="11">
        <v>84</v>
      </c>
      <c r="O202" s="52">
        <f t="shared" si="205"/>
        <v>691.83097091893671</v>
      </c>
      <c r="P202" s="50" t="str">
        <f t="shared" si="155"/>
        <v>23.3035714285714</v>
      </c>
      <c r="Q202" s="18" t="str">
        <f t="shared" si="156"/>
        <v>1+2.32869760260517i</v>
      </c>
      <c r="R202" s="18">
        <f t="shared" si="167"/>
        <v>2.5343307843253347</v>
      </c>
      <c r="S202" s="18">
        <f t="shared" si="168"/>
        <v>1.1651839937026838</v>
      </c>
      <c r="T202" s="18" t="str">
        <f t="shared" si="157"/>
        <v>1+0.00434690219152965i</v>
      </c>
      <c r="U202" s="18">
        <f t="shared" si="169"/>
        <v>1.0000094477347015</v>
      </c>
      <c r="V202" s="18">
        <f t="shared" si="170"/>
        <v>4.3468748127915976E-3</v>
      </c>
      <c r="W202" s="32" t="str">
        <f t="shared" si="158"/>
        <v>1-0.010625760912628i</v>
      </c>
      <c r="X202" s="18">
        <f t="shared" si="171"/>
        <v>1.0000564518040831</v>
      </c>
      <c r="Y202" s="18">
        <f t="shared" si="172"/>
        <v>-1.0625361032847542E-2</v>
      </c>
      <c r="Z202" s="32" t="str">
        <f t="shared" si="159"/>
        <v>0.999998085479631+0.00521508723173291i</v>
      </c>
      <c r="AA202" s="18">
        <f t="shared" si="173"/>
        <v>1.0000116839806232</v>
      </c>
      <c r="AB202" s="18">
        <f t="shared" si="174"/>
        <v>5.2150499381658326E-3</v>
      </c>
      <c r="AC202" s="68" t="str">
        <f t="shared" si="175"/>
        <v>3.53108320950777-8.49067406920651i</v>
      </c>
      <c r="AD202" s="66">
        <f t="shared" si="176"/>
        <v>19.271654610928973</v>
      </c>
      <c r="AE202" s="63">
        <f t="shared" si="177"/>
        <v>-67.41865630890878</v>
      </c>
      <c r="AF202" s="51" t="e">
        <f t="shared" si="178"/>
        <v>#NUM!</v>
      </c>
      <c r="AG202" s="51" t="str">
        <f t="shared" si="160"/>
        <v>1-3.26017664364725i</v>
      </c>
      <c r="AH202" s="51">
        <f t="shared" si="179"/>
        <v>3.4100955628520224</v>
      </c>
      <c r="AI202" s="51">
        <f t="shared" si="180"/>
        <v>-1.2731750267044784</v>
      </c>
      <c r="AJ202" s="51" t="str">
        <f t="shared" si="161"/>
        <v>1+0.00434690219152965i</v>
      </c>
      <c r="AK202" s="51">
        <f t="shared" si="181"/>
        <v>1.0000094477347015</v>
      </c>
      <c r="AL202" s="51">
        <f t="shared" si="182"/>
        <v>4.3468748127915976E-3</v>
      </c>
      <c r="AM202" s="51" t="e">
        <f t="shared" si="162"/>
        <v>#NUM!</v>
      </c>
      <c r="AN202" s="51" t="e">
        <f t="shared" si="183"/>
        <v>#NUM!</v>
      </c>
      <c r="AO202" s="51" t="e">
        <f t="shared" si="184"/>
        <v>#NUM!</v>
      </c>
      <c r="AP202" s="60" t="e">
        <f t="shared" si="185"/>
        <v>#NUM!</v>
      </c>
      <c r="AQ202" s="51" t="e">
        <f t="shared" si="186"/>
        <v>#NUM!</v>
      </c>
      <c r="AR202" s="63" t="e">
        <f t="shared" si="187"/>
        <v>#NUM!</v>
      </c>
      <c r="AS202" s="32" t="str">
        <f t="shared" si="163"/>
        <v>-0.000170731707317073</v>
      </c>
      <c r="AT202" s="32" t="str">
        <f t="shared" si="164"/>
        <v>0.000165182283278127i</v>
      </c>
      <c r="AU202" s="32">
        <f t="shared" si="188"/>
        <v>1.6518228327812699E-4</v>
      </c>
      <c r="AV202" s="32">
        <f t="shared" si="189"/>
        <v>1.5707963267948966</v>
      </c>
      <c r="AW202" s="32" t="str">
        <f t="shared" si="165"/>
        <v>1+0.0351687265727335i</v>
      </c>
      <c r="AX202" s="32">
        <f t="shared" si="190"/>
        <v>1.0006182285610969</v>
      </c>
      <c r="AY202" s="32">
        <f t="shared" si="191"/>
        <v>3.515423796853754E-2</v>
      </c>
      <c r="AZ202" s="32" t="str">
        <f t="shared" si="166"/>
        <v>1+0.668205804881938i</v>
      </c>
      <c r="BA202" s="32">
        <f t="shared" si="192"/>
        <v>1.2027048672379765</v>
      </c>
      <c r="BB202" s="32">
        <f t="shared" si="193"/>
        <v>0.589067403966961</v>
      </c>
      <c r="BC202" s="60" t="str">
        <f t="shared" si="194"/>
        <v>-0.653496169126102+1.0565783862339i</v>
      </c>
      <c r="BD202" s="51">
        <f t="shared" si="195"/>
        <v>1.8848275310429781</v>
      </c>
      <c r="BE202" s="63">
        <f t="shared" si="196"/>
        <v>121.73688662843907</v>
      </c>
      <c r="BF202" s="60" t="str">
        <f t="shared" si="197"/>
        <v>6.66351335580141+9.27948917668412i</v>
      </c>
      <c r="BG202" s="66">
        <f t="shared" si="198"/>
        <v>21.156482141971949</v>
      </c>
      <c r="BH202" s="63">
        <f t="shared" si="199"/>
        <v>54.318230319530265</v>
      </c>
      <c r="BI202" s="60" t="e">
        <f t="shared" si="203"/>
        <v>#NUM!</v>
      </c>
      <c r="BJ202" s="66" t="e">
        <f t="shared" si="200"/>
        <v>#NUM!</v>
      </c>
      <c r="BK202" s="63" t="e">
        <f t="shared" si="204"/>
        <v>#NUM!</v>
      </c>
      <c r="BL202" s="51">
        <f t="shared" si="201"/>
        <v>21.156482141971949</v>
      </c>
      <c r="BM202" s="63">
        <f t="shared" si="202"/>
        <v>54.318230319530265</v>
      </c>
    </row>
    <row r="203" spans="14:65" x14ac:dyDescent="0.3">
      <c r="N203" s="11">
        <v>85</v>
      </c>
      <c r="O203" s="52">
        <f t="shared" si="205"/>
        <v>707.94578438413873</v>
      </c>
      <c r="P203" s="50" t="str">
        <f t="shared" si="155"/>
        <v>23.3035714285714</v>
      </c>
      <c r="Q203" s="18" t="str">
        <f t="shared" si="156"/>
        <v>1+2.38293993788686i</v>
      </c>
      <c r="R203" s="18">
        <f t="shared" si="167"/>
        <v>2.5842605804322893</v>
      </c>
      <c r="S203" s="18">
        <f t="shared" si="168"/>
        <v>1.173466156098864</v>
      </c>
      <c r="T203" s="18" t="str">
        <f t="shared" si="157"/>
        <v>1+0.00444815455072215i</v>
      </c>
      <c r="U203" s="18">
        <f t="shared" si="169"/>
        <v>1.0000098929905179</v>
      </c>
      <c r="V203" s="18">
        <f t="shared" si="170"/>
        <v>4.4481252138914486E-3</v>
      </c>
      <c r="W203" s="32" t="str">
        <f t="shared" si="158"/>
        <v>1-0.010873266679543i</v>
      </c>
      <c r="X203" s="18">
        <f t="shared" si="171"/>
        <v>1.0000591122170153</v>
      </c>
      <c r="Y203" s="18">
        <f t="shared" si="172"/>
        <v>-1.0872838202006328E-2</v>
      </c>
      <c r="Z203" s="32" t="str">
        <f t="shared" si="159"/>
        <v>0.999997995251065+0.00533656221836513i</v>
      </c>
      <c r="AA203" s="18">
        <f t="shared" si="173"/>
        <v>1.0000122346263869</v>
      </c>
      <c r="AB203" s="18">
        <f t="shared" si="174"/>
        <v>5.3365222576142622E-3</v>
      </c>
      <c r="AC203" s="68" t="str">
        <f t="shared" si="175"/>
        <v>3.39155155954196-8.35595168880533i</v>
      </c>
      <c r="AD203" s="66">
        <f t="shared" si="176"/>
        <v>19.102216720820408</v>
      </c>
      <c r="AE203" s="63">
        <f t="shared" si="177"/>
        <v>-67.908527287345507</v>
      </c>
      <c r="AF203" s="51" t="e">
        <f t="shared" si="178"/>
        <v>#NUM!</v>
      </c>
      <c r="AG203" s="51" t="str">
        <f t="shared" si="160"/>
        <v>1-3.33611591304162i</v>
      </c>
      <c r="AH203" s="51">
        <f t="shared" si="179"/>
        <v>3.4827674894040119</v>
      </c>
      <c r="AI203" s="51">
        <f t="shared" si="180"/>
        <v>-1.2795691107787133</v>
      </c>
      <c r="AJ203" s="51" t="str">
        <f t="shared" si="161"/>
        <v>1+0.00444815455072215i</v>
      </c>
      <c r="AK203" s="51">
        <f t="shared" si="181"/>
        <v>1.0000098929905179</v>
      </c>
      <c r="AL203" s="51">
        <f t="shared" si="182"/>
        <v>4.4481252138914486E-3</v>
      </c>
      <c r="AM203" s="51" t="e">
        <f t="shared" si="162"/>
        <v>#NUM!</v>
      </c>
      <c r="AN203" s="51" t="e">
        <f t="shared" si="183"/>
        <v>#NUM!</v>
      </c>
      <c r="AO203" s="51" t="e">
        <f t="shared" si="184"/>
        <v>#NUM!</v>
      </c>
      <c r="AP203" s="60" t="e">
        <f t="shared" si="185"/>
        <v>#NUM!</v>
      </c>
      <c r="AQ203" s="51" t="e">
        <f t="shared" si="186"/>
        <v>#NUM!</v>
      </c>
      <c r="AR203" s="63" t="e">
        <f t="shared" si="187"/>
        <v>#NUM!</v>
      </c>
      <c r="AS203" s="32" t="str">
        <f t="shared" si="163"/>
        <v>-0.000170731707317073</v>
      </c>
      <c r="AT203" s="32" t="str">
        <f t="shared" si="164"/>
        <v>0.000169029872927442i</v>
      </c>
      <c r="AU203" s="32">
        <f t="shared" si="188"/>
        <v>1.6902987292744201E-4</v>
      </c>
      <c r="AV203" s="32">
        <f t="shared" si="189"/>
        <v>1.5707963267948966</v>
      </c>
      <c r="AW203" s="32" t="str">
        <f t="shared" si="165"/>
        <v>1+0.0359879114493162i</v>
      </c>
      <c r="AX203" s="32">
        <f t="shared" si="190"/>
        <v>1.0006473553507669</v>
      </c>
      <c r="AY203" s="32">
        <f t="shared" si="191"/>
        <v>3.5972387172605036E-2</v>
      </c>
      <c r="AZ203" s="32" t="str">
        <f t="shared" si="166"/>
        <v>1+0.683770317537009i</v>
      </c>
      <c r="BA203" s="32">
        <f t="shared" si="192"/>
        <v>1.2114214160005023</v>
      </c>
      <c r="BB203" s="32">
        <f t="shared" si="193"/>
        <v>0.59975031156557923</v>
      </c>
      <c r="BC203" s="60" t="str">
        <f t="shared" si="194"/>
        <v>-0.653458125816753+1.03358483944962i</v>
      </c>
      <c r="BD203" s="51">
        <f t="shared" si="195"/>
        <v>1.7472982690594472</v>
      </c>
      <c r="BE203" s="63">
        <f t="shared" si="196"/>
        <v>122.30209565036317</v>
      </c>
      <c r="BF203" s="60" t="str">
        <f t="shared" si="197"/>
        <v>6.42034805901346+8.96572080413635i</v>
      </c>
      <c r="BG203" s="66">
        <f t="shared" si="198"/>
        <v>20.84951498987985</v>
      </c>
      <c r="BH203" s="63">
        <f t="shared" si="199"/>
        <v>54.3935683630177</v>
      </c>
      <c r="BI203" s="60" t="e">
        <f t="shared" si="203"/>
        <v>#NUM!</v>
      </c>
      <c r="BJ203" s="66" t="e">
        <f t="shared" si="200"/>
        <v>#NUM!</v>
      </c>
      <c r="BK203" s="63" t="e">
        <f t="shared" si="204"/>
        <v>#NUM!</v>
      </c>
      <c r="BL203" s="51">
        <f t="shared" si="201"/>
        <v>20.84951498987985</v>
      </c>
      <c r="BM203" s="63">
        <f t="shared" si="202"/>
        <v>54.3935683630177</v>
      </c>
    </row>
    <row r="204" spans="14:65" x14ac:dyDescent="0.3">
      <c r="N204" s="11">
        <v>86</v>
      </c>
      <c r="O204" s="52">
        <f t="shared" si="205"/>
        <v>724.43596007499025</v>
      </c>
      <c r="P204" s="50" t="str">
        <f t="shared" si="155"/>
        <v>23.3035714285714</v>
      </c>
      <c r="Q204" s="18" t="str">
        <f t="shared" si="156"/>
        <v>1+2.43844573946556i</v>
      </c>
      <c r="R204" s="18">
        <f t="shared" si="167"/>
        <v>2.6355298564648706</v>
      </c>
      <c r="S204" s="18">
        <f t="shared" si="168"/>
        <v>1.1816158058193347</v>
      </c>
      <c r="T204" s="18" t="str">
        <f t="shared" si="157"/>
        <v>1+0.00455176538033572i</v>
      </c>
      <c r="U204" s="18">
        <f t="shared" si="169"/>
        <v>1.000010359230382</v>
      </c>
      <c r="V204" s="18">
        <f t="shared" si="170"/>
        <v>4.551733945372856E-3</v>
      </c>
      <c r="W204" s="32" t="str">
        <f t="shared" si="158"/>
        <v>1-0.0111265375963762i</v>
      </c>
      <c r="X204" s="18">
        <f t="shared" si="171"/>
        <v>1.0000618980037603</v>
      </c>
      <c r="Y204" s="18">
        <f t="shared" si="172"/>
        <v>-1.1126078475958551E-2</v>
      </c>
      <c r="Z204" s="32" t="str">
        <f t="shared" si="159"/>
        <v>0.999997900770159+0.00546086672092327i</v>
      </c>
      <c r="AA204" s="18">
        <f t="shared" si="173"/>
        <v>1.0000128112229705</v>
      </c>
      <c r="AB204" s="18">
        <f t="shared" si="174"/>
        <v>5.46082390223667E-3</v>
      </c>
      <c r="AC204" s="68" t="str">
        <f t="shared" si="175"/>
        <v>3.25644904194905-8.22114660073143i</v>
      </c>
      <c r="AD204" s="66">
        <f t="shared" si="176"/>
        <v>18.931607209230116</v>
      </c>
      <c r="AE204" s="63">
        <f t="shared" si="177"/>
        <v>-68.391163036327484</v>
      </c>
      <c r="AF204" s="51" t="e">
        <f t="shared" si="178"/>
        <v>#NUM!</v>
      </c>
      <c r="AG204" s="51" t="str">
        <f t="shared" si="160"/>
        <v>1-3.4138240352518i</v>
      </c>
      <c r="AH204" s="51">
        <f t="shared" si="179"/>
        <v>3.5572734704634228</v>
      </c>
      <c r="AI204" s="51">
        <f t="shared" si="180"/>
        <v>-1.2858414209564777</v>
      </c>
      <c r="AJ204" s="51" t="str">
        <f t="shared" si="161"/>
        <v>1+0.00455176538033572i</v>
      </c>
      <c r="AK204" s="51">
        <f t="shared" si="181"/>
        <v>1.000010359230382</v>
      </c>
      <c r="AL204" s="51">
        <f t="shared" si="182"/>
        <v>4.551733945372856E-3</v>
      </c>
      <c r="AM204" s="51" t="e">
        <f t="shared" si="162"/>
        <v>#NUM!</v>
      </c>
      <c r="AN204" s="51" t="e">
        <f t="shared" si="183"/>
        <v>#NUM!</v>
      </c>
      <c r="AO204" s="51" t="e">
        <f t="shared" si="184"/>
        <v>#NUM!</v>
      </c>
      <c r="AP204" s="60" t="e">
        <f t="shared" si="185"/>
        <v>#NUM!</v>
      </c>
      <c r="AQ204" s="51" t="e">
        <f t="shared" si="186"/>
        <v>#NUM!</v>
      </c>
      <c r="AR204" s="63" t="e">
        <f t="shared" si="187"/>
        <v>#NUM!</v>
      </c>
      <c r="AS204" s="32" t="str">
        <f t="shared" si="163"/>
        <v>-0.000170731707317073</v>
      </c>
      <c r="AT204" s="32" t="str">
        <f t="shared" si="164"/>
        <v>0.000172967084452757i</v>
      </c>
      <c r="AU204" s="32">
        <f t="shared" si="188"/>
        <v>1.7296708445275699E-4</v>
      </c>
      <c r="AV204" s="32">
        <f t="shared" si="189"/>
        <v>1.5707963267948966</v>
      </c>
      <c r="AW204" s="32" t="str">
        <f t="shared" si="165"/>
        <v>1+0.0368261775929056i</v>
      </c>
      <c r="AX204" s="32">
        <f t="shared" si="190"/>
        <v>1.0006778539350734</v>
      </c>
      <c r="AY204" s="32">
        <f t="shared" si="191"/>
        <v>3.680954363923037E-2</v>
      </c>
      <c r="AZ204" s="32" t="str">
        <f t="shared" si="166"/>
        <v>1+0.699697374265207i</v>
      </c>
      <c r="BA204" s="32">
        <f t="shared" si="192"/>
        <v>1.2204820422905145</v>
      </c>
      <c r="BB204" s="32">
        <f t="shared" si="193"/>
        <v>0.61052283099188909</v>
      </c>
      <c r="BC204" s="60" t="str">
        <f t="shared" si="194"/>
        <v>-0.653418294328615+1.01113918412163i</v>
      </c>
      <c r="BD204" s="51">
        <f t="shared" si="195"/>
        <v>1.6117564716632655</v>
      </c>
      <c r="BE204" s="63">
        <f t="shared" si="196"/>
        <v>122.87135001588362</v>
      </c>
      <c r="BF204" s="60" t="str">
        <f t="shared" si="197"/>
        <v>6.18490008784949+8.66457081668545i</v>
      </c>
      <c r="BG204" s="66">
        <f t="shared" si="198"/>
        <v>20.543363680893385</v>
      </c>
      <c r="BH204" s="63">
        <f t="shared" si="199"/>
        <v>54.480186979556152</v>
      </c>
      <c r="BI204" s="60" t="e">
        <f t="shared" si="203"/>
        <v>#NUM!</v>
      </c>
      <c r="BJ204" s="66" t="e">
        <f t="shared" si="200"/>
        <v>#NUM!</v>
      </c>
      <c r="BK204" s="63" t="e">
        <f t="shared" si="204"/>
        <v>#NUM!</v>
      </c>
      <c r="BL204" s="51">
        <f t="shared" si="201"/>
        <v>20.543363680893385</v>
      </c>
      <c r="BM204" s="63">
        <f t="shared" si="202"/>
        <v>54.480186979556152</v>
      </c>
    </row>
    <row r="205" spans="14:65" x14ac:dyDescent="0.3">
      <c r="N205" s="11">
        <v>87</v>
      </c>
      <c r="O205" s="52">
        <f t="shared" si="205"/>
        <v>741.31024130091828</v>
      </c>
      <c r="P205" s="50" t="str">
        <f t="shared" si="155"/>
        <v>23.3035714285714</v>
      </c>
      <c r="Q205" s="18" t="str">
        <f t="shared" si="156"/>
        <v>1+2.49524443725197i</v>
      </c>
      <c r="R205" s="18">
        <f t="shared" si="167"/>
        <v>2.688167554606093</v>
      </c>
      <c r="S205" s="18">
        <f t="shared" si="168"/>
        <v>1.1896329326787083</v>
      </c>
      <c r="T205" s="18" t="str">
        <f t="shared" si="157"/>
        <v>1+0.00465778961620368i</v>
      </c>
      <c r="U205" s="18">
        <f t="shared" si="169"/>
        <v>1.0000108474432208</v>
      </c>
      <c r="V205" s="18">
        <f t="shared" si="170"/>
        <v>4.6577559330538455E-3</v>
      </c>
      <c r="W205" s="32" t="str">
        <f t="shared" si="158"/>
        <v>1-0.0113857079507201i</v>
      </c>
      <c r="X205" s="18">
        <f t="shared" si="171"/>
        <v>1.0000648150722726</v>
      </c>
      <c r="Y205" s="18">
        <f t="shared" si="172"/>
        <v>-1.1385215996051169E-2</v>
      </c>
      <c r="Z205" s="32" t="str">
        <f t="shared" si="159"/>
        <v>0.999997801836505+0.00558806664729996i</v>
      </c>
      <c r="AA205" s="18">
        <f t="shared" si="173"/>
        <v>1.0000134149933673</v>
      </c>
      <c r="AB205" s="18">
        <f t="shared" si="174"/>
        <v>5.5880207662836398E-3</v>
      </c>
      <c r="AC205" s="68" t="str">
        <f t="shared" si="175"/>
        <v>3.12570455868845-8.08640220921808i</v>
      </c>
      <c r="AD205" s="66">
        <f t="shared" si="176"/>
        <v>18.759863650859057</v>
      </c>
      <c r="AE205" s="63">
        <f t="shared" si="177"/>
        <v>-68.866571286452867</v>
      </c>
      <c r="AF205" s="51" t="e">
        <f t="shared" si="178"/>
        <v>#NUM!</v>
      </c>
      <c r="AG205" s="51" t="str">
        <f t="shared" si="160"/>
        <v>1-3.49334221215277i</v>
      </c>
      <c r="AH205" s="51">
        <f t="shared" si="179"/>
        <v>3.633653782518143</v>
      </c>
      <c r="AI205" s="51">
        <f t="shared" si="180"/>
        <v>-1.2919933080385813</v>
      </c>
      <c r="AJ205" s="51" t="str">
        <f t="shared" si="161"/>
        <v>1+0.00465778961620368i</v>
      </c>
      <c r="AK205" s="51">
        <f t="shared" si="181"/>
        <v>1.0000108474432208</v>
      </c>
      <c r="AL205" s="51">
        <f t="shared" si="182"/>
        <v>4.6577559330538455E-3</v>
      </c>
      <c r="AM205" s="51" t="e">
        <f t="shared" si="162"/>
        <v>#NUM!</v>
      </c>
      <c r="AN205" s="51" t="e">
        <f t="shared" si="183"/>
        <v>#NUM!</v>
      </c>
      <c r="AO205" s="51" t="e">
        <f t="shared" si="184"/>
        <v>#NUM!</v>
      </c>
      <c r="AP205" s="60" t="e">
        <f t="shared" si="185"/>
        <v>#NUM!</v>
      </c>
      <c r="AQ205" s="51" t="e">
        <f t="shared" si="186"/>
        <v>#NUM!</v>
      </c>
      <c r="AR205" s="63" t="e">
        <f t="shared" si="187"/>
        <v>#NUM!</v>
      </c>
      <c r="AS205" s="32" t="str">
        <f t="shared" si="163"/>
        <v>-0.000170731707317073</v>
      </c>
      <c r="AT205" s="32" t="str">
        <f t="shared" si="164"/>
        <v>0.00017699600541574i</v>
      </c>
      <c r="AU205" s="32">
        <f t="shared" si="188"/>
        <v>1.7699600541574E-4</v>
      </c>
      <c r="AV205" s="32">
        <f t="shared" si="189"/>
        <v>1.5707963267948966</v>
      </c>
      <c r="AW205" s="32" t="str">
        <f t="shared" si="165"/>
        <v>1+0.0376839694633068i</v>
      </c>
      <c r="AX205" s="32">
        <f t="shared" si="190"/>
        <v>1.0007097888771306</v>
      </c>
      <c r="AY205" s="32">
        <f t="shared" si="191"/>
        <v>3.7666146543531877E-2</v>
      </c>
      <c r="AZ205" s="32" t="str">
        <f t="shared" si="166"/>
        <v>1+0.71599541980283i</v>
      </c>
      <c r="BA205" s="32">
        <f t="shared" si="192"/>
        <v>1.2298981426031306</v>
      </c>
      <c r="BB205" s="32">
        <f t="shared" si="193"/>
        <v>0.62138067307360101</v>
      </c>
      <c r="BC205" s="60" t="str">
        <f t="shared" si="194"/>
        <v>-0.653376590844456+0.989229510072307i</v>
      </c>
      <c r="BD205" s="51">
        <f t="shared" si="195"/>
        <v>1.4782343182179745</v>
      </c>
      <c r="BE205" s="63">
        <f t="shared" si="196"/>
        <v>123.44437881065012</v>
      </c>
      <c r="BF205" s="60" t="str">
        <f t="shared" si="197"/>
        <v>5.95704550712959+8.37550509687814i</v>
      </c>
      <c r="BG205" s="66">
        <f t="shared" si="198"/>
        <v>20.238097969077032</v>
      </c>
      <c r="BH205" s="63">
        <f t="shared" si="199"/>
        <v>54.577807524197247</v>
      </c>
      <c r="BI205" s="60" t="e">
        <f t="shared" si="203"/>
        <v>#NUM!</v>
      </c>
      <c r="BJ205" s="66" t="e">
        <f t="shared" si="200"/>
        <v>#NUM!</v>
      </c>
      <c r="BK205" s="63" t="e">
        <f t="shared" si="204"/>
        <v>#NUM!</v>
      </c>
      <c r="BL205" s="51">
        <f t="shared" si="201"/>
        <v>20.238097969077032</v>
      </c>
      <c r="BM205" s="63">
        <f t="shared" si="202"/>
        <v>54.577807524197247</v>
      </c>
    </row>
    <row r="206" spans="14:65" x14ac:dyDescent="0.3">
      <c r="N206" s="11">
        <v>88</v>
      </c>
      <c r="O206" s="52">
        <f t="shared" si="205"/>
        <v>758.57757502918378</v>
      </c>
      <c r="P206" s="50" t="str">
        <f t="shared" si="155"/>
        <v>23.3035714285714</v>
      </c>
      <c r="Q206" s="18" t="str">
        <f t="shared" si="156"/>
        <v>1+2.55336614666747i</v>
      </c>
      <c r="R206" s="18">
        <f t="shared" si="167"/>
        <v>2.7422032526688254</v>
      </c>
      <c r="S206" s="18">
        <f t="shared" si="168"/>
        <v>1.1975176640578085</v>
      </c>
      <c r="T206" s="18" t="str">
        <f t="shared" si="157"/>
        <v>1+0.00476628347377929i</v>
      </c>
      <c r="U206" s="18">
        <f t="shared" si="169"/>
        <v>1.0000113586645665</v>
      </c>
      <c r="V206" s="18">
        <f t="shared" si="170"/>
        <v>4.766247381656122E-3</v>
      </c>
      <c r="W206" s="32" t="str">
        <f t="shared" si="158"/>
        <v>1-0.0116509151581272i</v>
      </c>
      <c r="X206" s="18">
        <f t="shared" si="171"/>
        <v>1.000067869608869</v>
      </c>
      <c r="Y206" s="18">
        <f t="shared" si="172"/>
        <v>-1.165038802113425E-2</v>
      </c>
      <c r="Z206" s="32" t="str">
        <f t="shared" si="159"/>
        <v>0.999997698240251+0.00571822944057986i</v>
      </c>
      <c r="AA206" s="18">
        <f t="shared" si="173"/>
        <v>1.0000140472182055</v>
      </c>
      <c r="AB206" s="18">
        <f t="shared" si="174"/>
        <v>5.7181802782221534E-3</v>
      </c>
      <c r="AC206" s="68" t="str">
        <f t="shared" si="175"/>
        <v>2.99924258226617-7.951854929087i</v>
      </c>
      <c r="AD206" s="66">
        <f t="shared" si="176"/>
        <v>18.587022996250958</v>
      </c>
      <c r="AE206" s="63">
        <f t="shared" si="177"/>
        <v>-69.334767843531225</v>
      </c>
      <c r="AF206" s="51" t="e">
        <f t="shared" si="178"/>
        <v>#NUM!</v>
      </c>
      <c r="AG206" s="51" t="str">
        <f t="shared" si="160"/>
        <v>1-3.57471260533448i</v>
      </c>
      <c r="AH206" s="51">
        <f t="shared" si="179"/>
        <v>3.7119496508893044</v>
      </c>
      <c r="AI206" s="51">
        <f t="shared" si="180"/>
        <v>-1.2980261705391327</v>
      </c>
      <c r="AJ206" s="51" t="str">
        <f t="shared" si="161"/>
        <v>1+0.00476628347377929i</v>
      </c>
      <c r="AK206" s="51">
        <f t="shared" si="181"/>
        <v>1.0000113586645665</v>
      </c>
      <c r="AL206" s="51">
        <f t="shared" si="182"/>
        <v>4.766247381656122E-3</v>
      </c>
      <c r="AM206" s="51" t="e">
        <f t="shared" si="162"/>
        <v>#NUM!</v>
      </c>
      <c r="AN206" s="51" t="e">
        <f t="shared" si="183"/>
        <v>#NUM!</v>
      </c>
      <c r="AO206" s="51" t="e">
        <f t="shared" si="184"/>
        <v>#NUM!</v>
      </c>
      <c r="AP206" s="60" t="e">
        <f t="shared" si="185"/>
        <v>#NUM!</v>
      </c>
      <c r="AQ206" s="51" t="e">
        <f t="shared" si="186"/>
        <v>#NUM!</v>
      </c>
      <c r="AR206" s="63" t="e">
        <f t="shared" si="187"/>
        <v>#NUM!</v>
      </c>
      <c r="AS206" s="32" t="str">
        <f t="shared" si="163"/>
        <v>-0.000170731707317073</v>
      </c>
      <c r="AT206" s="32" t="str">
        <f t="shared" si="164"/>
        <v>0.000181118772003613i</v>
      </c>
      <c r="AU206" s="32">
        <f t="shared" si="188"/>
        <v>1.81118772003613E-4</v>
      </c>
      <c r="AV206" s="32">
        <f t="shared" si="189"/>
        <v>1.5707963267948966</v>
      </c>
      <c r="AW206" s="32" t="str">
        <f t="shared" si="165"/>
        <v>1+0.0385617418731238i</v>
      </c>
      <c r="AX206" s="32">
        <f t="shared" si="190"/>
        <v>1.0007432277743824</v>
      </c>
      <c r="AY206" s="32">
        <f t="shared" si="191"/>
        <v>3.8542645036451564E-2</v>
      </c>
      <c r="AZ206" s="32" t="str">
        <f t="shared" si="166"/>
        <v>1+0.732673095589353i</v>
      </c>
      <c r="BA206" s="32">
        <f t="shared" si="192"/>
        <v>1.2396813562365474</v>
      </c>
      <c r="BB206" s="32">
        <f t="shared" si="193"/>
        <v>0.63231935445148557</v>
      </c>
      <c r="BC206" s="60" t="str">
        <f t="shared" si="194"/>
        <v>-0.653332927640823+0.967844190653954i</v>
      </c>
      <c r="BD206" s="51">
        <f t="shared" si="195"/>
        <v>1.3467625663728098</v>
      </c>
      <c r="BE206" s="63">
        <f t="shared" si="196"/>
        <v>124.02089942264733</v>
      </c>
      <c r="BF206" s="60" t="str">
        <f t="shared" si="197"/>
        <v>5.73665266106288+8.09800817060379i</v>
      </c>
      <c r="BG206" s="66">
        <f t="shared" si="198"/>
        <v>19.933785562623758</v>
      </c>
      <c r="BH206" s="63">
        <f t="shared" si="199"/>
        <v>54.686131579116115</v>
      </c>
      <c r="BI206" s="60" t="e">
        <f t="shared" si="203"/>
        <v>#NUM!</v>
      </c>
      <c r="BJ206" s="66" t="e">
        <f t="shared" si="200"/>
        <v>#NUM!</v>
      </c>
      <c r="BK206" s="63" t="e">
        <f t="shared" si="204"/>
        <v>#NUM!</v>
      </c>
      <c r="BL206" s="51">
        <f t="shared" si="201"/>
        <v>19.933785562623758</v>
      </c>
      <c r="BM206" s="63">
        <f t="shared" si="202"/>
        <v>54.686131579116115</v>
      </c>
    </row>
    <row r="207" spans="14:65" x14ac:dyDescent="0.3">
      <c r="N207" s="11">
        <v>89</v>
      </c>
      <c r="O207" s="52">
        <f t="shared" si="205"/>
        <v>776.24711662869231</v>
      </c>
      <c r="P207" s="50" t="str">
        <f t="shared" si="155"/>
        <v>23.3035714285714</v>
      </c>
      <c r="Q207" s="18" t="str">
        <f t="shared" si="156"/>
        <v>1+2.61284168461174i</v>
      </c>
      <c r="R207" s="18">
        <f t="shared" si="167"/>
        <v>2.7976671833591493</v>
      </c>
      <c r="S207" s="18">
        <f t="shared" si="168"/>
        <v>1.205270258026143</v>
      </c>
      <c r="T207" s="18" t="str">
        <f t="shared" si="157"/>
        <v>1+0.00487730447794192i</v>
      </c>
      <c r="U207" s="18">
        <f t="shared" si="169"/>
        <v>1.0000118939787519</v>
      </c>
      <c r="V207" s="18">
        <f t="shared" si="170"/>
        <v>4.8772658045600215E-3</v>
      </c>
      <c r="W207" s="32" t="str">
        <f t="shared" si="158"/>
        <v>1-0.0119222998349691i</v>
      </c>
      <c r="X207" s="18">
        <f t="shared" si="171"/>
        <v>1.0000710680913407</v>
      </c>
      <c r="Y207" s="18">
        <f t="shared" si="172"/>
        <v>-1.1921734999672492E-2</v>
      </c>
      <c r="Z207" s="32" t="str">
        <f t="shared" si="159"/>
        <v>0.999997589761656+0.00585142411479887i</v>
      </c>
      <c r="AA207" s="18">
        <f t="shared" si="173"/>
        <v>1.0000147092384655</v>
      </c>
      <c r="AB207" s="18">
        <f t="shared" si="174"/>
        <v>5.8513714364250404E-3</v>
      </c>
      <c r="AC207" s="68" t="str">
        <f t="shared" si="175"/>
        <v>2.87698366887948-7.81763418049515i</v>
      </c>
      <c r="AD207" s="66">
        <f t="shared" si="176"/>
        <v>18.413121536277458</v>
      </c>
      <c r="AE207" s="63">
        <f t="shared" si="177"/>
        <v>-69.795776199002134</v>
      </c>
      <c r="AF207" s="51" t="e">
        <f t="shared" si="178"/>
        <v>#NUM!</v>
      </c>
      <c r="AG207" s="51" t="str">
        <f t="shared" si="160"/>
        <v>1-3.65797835845645i</v>
      </c>
      <c r="AH207" s="51">
        <f t="shared" si="179"/>
        <v>3.7922032739471843</v>
      </c>
      <c r="AI207" s="51">
        <f t="shared" si="180"/>
        <v>-1.3039414499234325</v>
      </c>
      <c r="AJ207" s="51" t="str">
        <f t="shared" si="161"/>
        <v>1+0.00487730447794192i</v>
      </c>
      <c r="AK207" s="51">
        <f t="shared" si="181"/>
        <v>1.0000118939787519</v>
      </c>
      <c r="AL207" s="51">
        <f t="shared" si="182"/>
        <v>4.8772658045600215E-3</v>
      </c>
      <c r="AM207" s="51" t="e">
        <f t="shared" si="162"/>
        <v>#NUM!</v>
      </c>
      <c r="AN207" s="51" t="e">
        <f t="shared" si="183"/>
        <v>#NUM!</v>
      </c>
      <c r="AO207" s="51" t="e">
        <f t="shared" si="184"/>
        <v>#NUM!</v>
      </c>
      <c r="AP207" s="60" t="e">
        <f t="shared" si="185"/>
        <v>#NUM!</v>
      </c>
      <c r="AQ207" s="51" t="e">
        <f t="shared" si="186"/>
        <v>#NUM!</v>
      </c>
      <c r="AR207" s="63" t="e">
        <f t="shared" si="187"/>
        <v>#NUM!</v>
      </c>
      <c r="AS207" s="32" t="str">
        <f t="shared" si="163"/>
        <v>-0.000170731707317073</v>
      </c>
      <c r="AT207" s="32" t="str">
        <f t="shared" si="164"/>
        <v>0.000185337570161793i</v>
      </c>
      <c r="AU207" s="32">
        <f t="shared" si="188"/>
        <v>1.8533757016179299E-4</v>
      </c>
      <c r="AV207" s="32">
        <f t="shared" si="189"/>
        <v>1.5707963267948966</v>
      </c>
      <c r="AW207" s="32" t="str">
        <f t="shared" si="165"/>
        <v>1+0.0394599602289069i</v>
      </c>
      <c r="AX207" s="32">
        <f t="shared" si="190"/>
        <v>1.0007782414007946</v>
      </c>
      <c r="AY207" s="32">
        <f t="shared" si="191"/>
        <v>3.943949845906105E-2</v>
      </c>
      <c r="AZ207" s="32" t="str">
        <f t="shared" si="166"/>
        <v>1+0.749739244349232i</v>
      </c>
      <c r="BA207" s="32">
        <f t="shared" si="192"/>
        <v>1.2498435640180565</v>
      </c>
      <c r="BB207" s="32">
        <f t="shared" si="193"/>
        <v>0.64333420428812194</v>
      </c>
      <c r="BC207" s="60" t="str">
        <f t="shared" si="194"/>
        <v>-0.653287212908152+0.946971876537715i</v>
      </c>
      <c r="BD207" s="51">
        <f t="shared" si="195"/>
        <v>1.2173704400511305</v>
      </c>
      <c r="BE207" s="63">
        <f t="shared" si="196"/>
        <v>124.6006179142996</v>
      </c>
      <c r="BF207" s="60" t="str">
        <f t="shared" si="197"/>
        <v>5.52358306736433+7.83158306899834i</v>
      </c>
      <c r="BG207" s="66">
        <f t="shared" si="198"/>
        <v>19.630491976328585</v>
      </c>
      <c r="BH207" s="63">
        <f t="shared" si="199"/>
        <v>54.804841715297478</v>
      </c>
      <c r="BI207" s="60" t="e">
        <f t="shared" si="203"/>
        <v>#NUM!</v>
      </c>
      <c r="BJ207" s="66" t="e">
        <f t="shared" si="200"/>
        <v>#NUM!</v>
      </c>
      <c r="BK207" s="63" t="e">
        <f t="shared" si="204"/>
        <v>#NUM!</v>
      </c>
      <c r="BL207" s="51">
        <f t="shared" si="201"/>
        <v>19.630491976328585</v>
      </c>
      <c r="BM207" s="63">
        <f t="shared" si="202"/>
        <v>54.804841715297478</v>
      </c>
    </row>
    <row r="208" spans="14:65" x14ac:dyDescent="0.3">
      <c r="N208" s="11">
        <v>90</v>
      </c>
      <c r="O208" s="52">
        <f t="shared" si="205"/>
        <v>794.32823472428208</v>
      </c>
      <c r="P208" s="50" t="str">
        <f t="shared" si="155"/>
        <v>23.3035714285714</v>
      </c>
      <c r="Q208" s="18" t="str">
        <f t="shared" si="156"/>
        <v>1+2.67370258580223i</v>
      </c>
      <c r="R208" s="18">
        <f t="shared" si="167"/>
        <v>2.854590253841264</v>
      </c>
      <c r="S208" s="18">
        <f t="shared" si="168"/>
        <v>1.2128910964755344</v>
      </c>
      <c r="T208" s="18" t="str">
        <f t="shared" si="157"/>
        <v>1+0.00499091149349751i</v>
      </c>
      <c r="U208" s="18">
        <f t="shared" si="169"/>
        <v>1.0000124545212103</v>
      </c>
      <c r="V208" s="18">
        <f t="shared" si="170"/>
        <v>4.9908700542500807E-3</v>
      </c>
      <c r="W208" s="32" t="str">
        <f t="shared" si="158"/>
        <v>1-0.0122000058729939i</v>
      </c>
      <c r="X208" s="18">
        <f t="shared" si="171"/>
        <v>1.0000744173026832</v>
      </c>
      <c r="Y208" s="18">
        <f t="shared" si="172"/>
        <v>-1.2199400643501643E-2</v>
      </c>
      <c r="Z208" s="32" t="str">
        <f t="shared" si="159"/>
        <v>0.999997476170622+0.0059877212915363i</v>
      </c>
      <c r="AA208" s="18">
        <f t="shared" si="173"/>
        <v>1.0000154024583214</v>
      </c>
      <c r="AB208" s="18">
        <f t="shared" si="174"/>
        <v>5.9876648456883876E-3</v>
      </c>
      <c r="AC208" s="68" t="str">
        <f t="shared" si="175"/>
        <v>2.75884495169197-7.68386241641736i</v>
      </c>
      <c r="AD208" s="66">
        <f t="shared" si="176"/>
        <v>18.238194870927721</v>
      </c>
      <c r="AE208" s="63">
        <f t="shared" si="177"/>
        <v>-70.249627141094692</v>
      </c>
      <c r="AF208" s="51" t="e">
        <f t="shared" si="178"/>
        <v>#NUM!</v>
      </c>
      <c r="AG208" s="51" t="str">
        <f t="shared" si="160"/>
        <v>1-3.74318362012314i</v>
      </c>
      <c r="AH208" s="51">
        <f t="shared" si="179"/>
        <v>3.8744578477456919</v>
      </c>
      <c r="AI208" s="51">
        <f t="shared" si="180"/>
        <v>-1.3097406260594424</v>
      </c>
      <c r="AJ208" s="51" t="str">
        <f t="shared" si="161"/>
        <v>1+0.00499091149349751i</v>
      </c>
      <c r="AK208" s="51">
        <f t="shared" si="181"/>
        <v>1.0000124545212103</v>
      </c>
      <c r="AL208" s="51">
        <f t="shared" si="182"/>
        <v>4.9908700542500807E-3</v>
      </c>
      <c r="AM208" s="51" t="e">
        <f t="shared" si="162"/>
        <v>#NUM!</v>
      </c>
      <c r="AN208" s="51" t="e">
        <f t="shared" si="183"/>
        <v>#NUM!</v>
      </c>
      <c r="AO208" s="51" t="e">
        <f t="shared" si="184"/>
        <v>#NUM!</v>
      </c>
      <c r="AP208" s="60" t="e">
        <f t="shared" si="185"/>
        <v>#NUM!</v>
      </c>
      <c r="AQ208" s="51" t="e">
        <f t="shared" si="186"/>
        <v>#NUM!</v>
      </c>
      <c r="AR208" s="63" t="e">
        <f t="shared" si="187"/>
        <v>#NUM!</v>
      </c>
      <c r="AS208" s="32" t="str">
        <f t="shared" si="163"/>
        <v>-0.000170731707317073</v>
      </c>
      <c r="AT208" s="32" t="str">
        <f t="shared" si="164"/>
        <v>0.000189654636752905i</v>
      </c>
      <c r="AU208" s="32">
        <f t="shared" si="188"/>
        <v>1.89654636752905E-4</v>
      </c>
      <c r="AV208" s="32">
        <f t="shared" si="189"/>
        <v>1.5707963267948966</v>
      </c>
      <c r="AW208" s="32" t="str">
        <f t="shared" si="165"/>
        <v>1+0.0403791007779177i</v>
      </c>
      <c r="AX208" s="32">
        <f t="shared" si="190"/>
        <v>1.0008149038556695</v>
      </c>
      <c r="AY208" s="32">
        <f t="shared" si="191"/>
        <v>4.0357176560579869E-2</v>
      </c>
      <c r="AZ208" s="32" t="str">
        <f t="shared" si="166"/>
        <v>1+0.767202914780438i</v>
      </c>
      <c r="BA208" s="32">
        <f t="shared" si="192"/>
        <v>1.2603968868763522</v>
      </c>
      <c r="BB208" s="32">
        <f t="shared" si="193"/>
        <v>0.65442037196556979</v>
      </c>
      <c r="BC208" s="60" t="str">
        <f t="shared" si="194"/>
        <v>-0.653239350562828+0.926601489646329i</v>
      </c>
      <c r="BD208" s="51">
        <f t="shared" si="195"/>
        <v>1.0900855201908846</v>
      </c>
      <c r="BE208" s="63">
        <f t="shared" si="196"/>
        <v>125.18322945102311</v>
      </c>
      <c r="BF208" s="60" t="str">
        <f t="shared" si="197"/>
        <v>5.31769227674297+7.57575113665563i</v>
      </c>
      <c r="BG208" s="66">
        <f t="shared" si="198"/>
        <v>19.328280391118604</v>
      </c>
      <c r="BH208" s="63">
        <f t="shared" si="199"/>
        <v>54.933602309928396</v>
      </c>
      <c r="BI208" s="60" t="e">
        <f t="shared" si="203"/>
        <v>#NUM!</v>
      </c>
      <c r="BJ208" s="66" t="e">
        <f t="shared" si="200"/>
        <v>#NUM!</v>
      </c>
      <c r="BK208" s="63" t="e">
        <f t="shared" si="204"/>
        <v>#NUM!</v>
      </c>
      <c r="BL208" s="51">
        <f t="shared" si="201"/>
        <v>19.328280391118604</v>
      </c>
      <c r="BM208" s="63">
        <f t="shared" si="202"/>
        <v>54.933602309928396</v>
      </c>
    </row>
    <row r="209" spans="14:65" x14ac:dyDescent="0.3">
      <c r="N209" s="11">
        <v>91</v>
      </c>
      <c r="O209" s="52">
        <f t="shared" si="205"/>
        <v>812.83051616409978</v>
      </c>
      <c r="P209" s="50" t="str">
        <f t="shared" si="155"/>
        <v>23.3035714285714</v>
      </c>
      <c r="Q209" s="18" t="str">
        <f t="shared" si="156"/>
        <v>1+2.73598111949435i</v>
      </c>
      <c r="R209" s="18">
        <f t="shared" si="167"/>
        <v>2.9130040656047078</v>
      </c>
      <c r="S209" s="18">
        <f t="shared" si="168"/>
        <v>1.220380678295667</v>
      </c>
      <c r="T209" s="18" t="str">
        <f t="shared" si="157"/>
        <v>1+0.00510716475638947i</v>
      </c>
      <c r="U209" s="18">
        <f t="shared" si="169"/>
        <v>1.0000130414808843</v>
      </c>
      <c r="V209" s="18">
        <f t="shared" si="170"/>
        <v>5.1071203534671303E-3</v>
      </c>
      <c r="W209" s="32" t="str">
        <f t="shared" si="158"/>
        <v>1-0.0124841805156187i</v>
      </c>
      <c r="X209" s="18">
        <f t="shared" si="171"/>
        <v>1.0000779243454716</v>
      </c>
      <c r="Y209" s="18">
        <f t="shared" si="172"/>
        <v>-1.248353200326275E-2</v>
      </c>
      <c r="Z209" s="32" t="str">
        <f t="shared" si="159"/>
        <v>0.999997357226208+0.00612719323735936i</v>
      </c>
      <c r="AA209" s="18">
        <f t="shared" si="173"/>
        <v>1.0000161283481224</v>
      </c>
      <c r="AB209" s="18">
        <f t="shared" si="174"/>
        <v>6.1271327545959183E-3</v>
      </c>
      <c r="AC209" s="68" t="str">
        <f t="shared" si="175"/>
        <v>2.64474061278575-7.5506551798888i</v>
      </c>
      <c r="AD209" s="66">
        <f t="shared" si="176"/>
        <v>18.06227788222575</v>
      </c>
      <c r="AE209" s="63">
        <f t="shared" si="177"/>
        <v>-70.69635836849352</v>
      </c>
      <c r="AF209" s="51" t="e">
        <f t="shared" si="178"/>
        <v>#NUM!</v>
      </c>
      <c r="AG209" s="51" t="str">
        <f t="shared" si="160"/>
        <v>1-3.83037356729211i</v>
      </c>
      <c r="AH209" s="51">
        <f t="shared" si="179"/>
        <v>3.95875759108967</v>
      </c>
      <c r="AI209" s="51">
        <f t="shared" si="180"/>
        <v>-1.3154252128823685</v>
      </c>
      <c r="AJ209" s="51" t="str">
        <f t="shared" si="161"/>
        <v>1+0.00510716475638947i</v>
      </c>
      <c r="AK209" s="51">
        <f t="shared" si="181"/>
        <v>1.0000130414808843</v>
      </c>
      <c r="AL209" s="51">
        <f t="shared" si="182"/>
        <v>5.1071203534671303E-3</v>
      </c>
      <c r="AM209" s="51" t="e">
        <f t="shared" si="162"/>
        <v>#NUM!</v>
      </c>
      <c r="AN209" s="51" t="e">
        <f t="shared" si="183"/>
        <v>#NUM!</v>
      </c>
      <c r="AO209" s="51" t="e">
        <f t="shared" si="184"/>
        <v>#NUM!</v>
      </c>
      <c r="AP209" s="60" t="e">
        <f t="shared" si="185"/>
        <v>#NUM!</v>
      </c>
      <c r="AQ209" s="51" t="e">
        <f t="shared" si="186"/>
        <v>#NUM!</v>
      </c>
      <c r="AR209" s="63" t="e">
        <f t="shared" si="187"/>
        <v>#NUM!</v>
      </c>
      <c r="AS209" s="32" t="str">
        <f t="shared" si="163"/>
        <v>-0.000170731707317073</v>
      </c>
      <c r="AT209" s="32" t="str">
        <f t="shared" si="164"/>
        <v>0.0001940722607428i</v>
      </c>
      <c r="AU209" s="32">
        <f t="shared" si="188"/>
        <v>1.9407226074280001E-4</v>
      </c>
      <c r="AV209" s="32">
        <f t="shared" si="189"/>
        <v>1.5707963267948966</v>
      </c>
      <c r="AW209" s="32" t="str">
        <f t="shared" si="165"/>
        <v>1+0.0413196508606415i</v>
      </c>
      <c r="AX209" s="32">
        <f t="shared" si="190"/>
        <v>1.0008532927193903</v>
      </c>
      <c r="AY209" s="32">
        <f t="shared" si="191"/>
        <v>4.1296159720101734E-2</v>
      </c>
      <c r="AZ209" s="32" t="str">
        <f t="shared" si="166"/>
        <v>1+0.78507336635219i</v>
      </c>
      <c r="BA209" s="32">
        <f t="shared" si="192"/>
        <v>1.271353684289136</v>
      </c>
      <c r="BB209" s="32">
        <f t="shared" si="193"/>
        <v>0.66557283575810666</v>
      </c>
      <c r="BC209" s="60" t="str">
        <f t="shared" si="194"/>
        <v>-0.653189240050811+0.906722217227152i</v>
      </c>
      <c r="BD209" s="51">
        <f t="shared" si="195"/>
        <v>0.96493363900917672</v>
      </c>
      <c r="BE209" s="63">
        <f t="shared" si="196"/>
        <v>125.76841878543347</v>
      </c>
      <c r="BF209" s="60" t="str">
        <f t="shared" si="197"/>
        <v>5.11883069522941+7.33005179125308i</v>
      </c>
      <c r="BG209" s="66">
        <f t="shared" si="198"/>
        <v>19.027211521234925</v>
      </c>
      <c r="BH209" s="63">
        <f t="shared" si="199"/>
        <v>55.072060416939976</v>
      </c>
      <c r="BI209" s="60" t="e">
        <f t="shared" si="203"/>
        <v>#NUM!</v>
      </c>
      <c r="BJ209" s="66" t="e">
        <f t="shared" si="200"/>
        <v>#NUM!</v>
      </c>
      <c r="BK209" s="63" t="e">
        <f t="shared" si="204"/>
        <v>#NUM!</v>
      </c>
      <c r="BL209" s="51">
        <f t="shared" si="201"/>
        <v>19.027211521234925</v>
      </c>
      <c r="BM209" s="63">
        <f t="shared" si="202"/>
        <v>55.072060416939976</v>
      </c>
    </row>
    <row r="210" spans="14:65" x14ac:dyDescent="0.3">
      <c r="N210" s="11">
        <v>92</v>
      </c>
      <c r="O210" s="52">
        <f t="shared" si="205"/>
        <v>831.7637711026714</v>
      </c>
      <c r="P210" s="50" t="str">
        <f t="shared" si="155"/>
        <v>23.3035714285714</v>
      </c>
      <c r="Q210" s="18" t="str">
        <f t="shared" si="156"/>
        <v>1+2.79971030659103i</v>
      </c>
      <c r="R210" s="18">
        <f t="shared" si="167"/>
        <v>2.9729409346356075</v>
      </c>
      <c r="S210" s="18">
        <f t="shared" si="168"/>
        <v>1.2277396126193267</v>
      </c>
      <c r="T210" s="18" t="str">
        <f t="shared" si="157"/>
        <v>1+0.00522612590563659i</v>
      </c>
      <c r="U210" s="18">
        <f t="shared" si="169"/>
        <v>1.0000136561027462</v>
      </c>
      <c r="V210" s="18">
        <f t="shared" si="170"/>
        <v>5.2260783270831846E-3</v>
      </c>
      <c r="W210" s="32" t="str">
        <f t="shared" si="158"/>
        <v>1-0.0127749744360006i</v>
      </c>
      <c r="X210" s="18">
        <f t="shared" si="171"/>
        <v>1.000081596656913</v>
      </c>
      <c r="Y210" s="18">
        <f t="shared" si="172"/>
        <v>-1.2774279545553586E-2</v>
      </c>
      <c r="Z210" s="32" t="str">
        <f t="shared" si="159"/>
        <v>0.999997232676116+0.00626991390213986i</v>
      </c>
      <c r="AA210" s="18">
        <f t="shared" si="173"/>
        <v>1.0000168884475054</v>
      </c>
      <c r="AB210" s="18">
        <f t="shared" si="174"/>
        <v>6.2698490937498821E-3</v>
      </c>
      <c r="AC210" s="68" t="str">
        <f t="shared" si="175"/>
        <v>2.5345823326607-7.41812118807229i</v>
      </c>
      <c r="AD210" s="66">
        <f t="shared" si="176"/>
        <v>17.885404711088309</v>
      </c>
      <c r="AE210" s="63">
        <f t="shared" si="177"/>
        <v>-71.136014108103694</v>
      </c>
      <c r="AF210" s="51" t="e">
        <f t="shared" si="178"/>
        <v>#NUM!</v>
      </c>
      <c r="AG210" s="51" t="str">
        <f t="shared" si="160"/>
        <v>1-3.91959442922745i</v>
      </c>
      <c r="AH210" s="51">
        <f t="shared" si="179"/>
        <v>4.0451477710500097</v>
      </c>
      <c r="AI210" s="51">
        <f t="shared" si="180"/>
        <v>-1.3209967542708541</v>
      </c>
      <c r="AJ210" s="51" t="str">
        <f t="shared" si="161"/>
        <v>1+0.00522612590563659i</v>
      </c>
      <c r="AK210" s="51">
        <f t="shared" si="181"/>
        <v>1.0000136561027462</v>
      </c>
      <c r="AL210" s="51">
        <f t="shared" si="182"/>
        <v>5.2260783270831846E-3</v>
      </c>
      <c r="AM210" s="51" t="e">
        <f t="shared" si="162"/>
        <v>#NUM!</v>
      </c>
      <c r="AN210" s="51" t="e">
        <f t="shared" si="183"/>
        <v>#NUM!</v>
      </c>
      <c r="AO210" s="51" t="e">
        <f t="shared" si="184"/>
        <v>#NUM!</v>
      </c>
      <c r="AP210" s="60" t="e">
        <f t="shared" si="185"/>
        <v>#NUM!</v>
      </c>
      <c r="AQ210" s="51" t="e">
        <f t="shared" si="186"/>
        <v>#NUM!</v>
      </c>
      <c r="AR210" s="63" t="e">
        <f t="shared" si="187"/>
        <v>#NUM!</v>
      </c>
      <c r="AS210" s="32" t="str">
        <f t="shared" si="163"/>
        <v>-0.000170731707317073</v>
      </c>
      <c r="AT210" s="32" t="str">
        <f t="shared" si="164"/>
        <v>0.00019859278441419i</v>
      </c>
      <c r="AU210" s="32">
        <f t="shared" si="188"/>
        <v>1.9859278441419E-4</v>
      </c>
      <c r="AV210" s="32">
        <f t="shared" si="189"/>
        <v>1.5707963267948966</v>
      </c>
      <c r="AW210" s="32" t="str">
        <f t="shared" si="165"/>
        <v>1+0.0422821091691819i</v>
      </c>
      <c r="AX210" s="32">
        <f t="shared" si="190"/>
        <v>1.0008934892164074</v>
      </c>
      <c r="AY210" s="32">
        <f t="shared" si="191"/>
        <v>4.2256939172019219E-2</v>
      </c>
      <c r="AZ210" s="32" t="str">
        <f t="shared" si="166"/>
        <v>1+0.803360074214457i</v>
      </c>
      <c r="BA210" s="32">
        <f t="shared" si="192"/>
        <v>1.2827265526377232</v>
      </c>
      <c r="BB210" s="32">
        <f t="shared" si="193"/>
        <v>0.67678641245702797</v>
      </c>
      <c r="BC210" s="60" t="str">
        <f t="shared" si="194"/>
        <v>-0.653136776142524+0.887323506062158i</v>
      </c>
      <c r="BD210" s="51">
        <f t="shared" si="195"/>
        <v>0.84193877856402599</v>
      </c>
      <c r="BE210" s="63">
        <f t="shared" si="196"/>
        <v>126.35586079589014</v>
      </c>
      <c r="BF210" s="60" t="str">
        <f t="shared" si="197"/>
        <v>4.92684436737248+7.09404223963178i</v>
      </c>
      <c r="BG210" s="66">
        <f t="shared" si="198"/>
        <v>18.727343489652338</v>
      </c>
      <c r="BH210" s="63">
        <f t="shared" si="199"/>
        <v>55.219846687786429</v>
      </c>
      <c r="BI210" s="60" t="e">
        <f t="shared" si="203"/>
        <v>#NUM!</v>
      </c>
      <c r="BJ210" s="66" t="e">
        <f t="shared" si="200"/>
        <v>#NUM!</v>
      </c>
      <c r="BK210" s="63" t="e">
        <f t="shared" si="204"/>
        <v>#NUM!</v>
      </c>
      <c r="BL210" s="51">
        <f t="shared" si="201"/>
        <v>18.727343489652338</v>
      </c>
      <c r="BM210" s="63">
        <f t="shared" si="202"/>
        <v>55.219846687786429</v>
      </c>
    </row>
    <row r="211" spans="14:65" x14ac:dyDescent="0.3">
      <c r="N211" s="11">
        <v>93</v>
      </c>
      <c r="O211" s="52">
        <f t="shared" si="205"/>
        <v>851.13803820237763</v>
      </c>
      <c r="P211" s="50" t="str">
        <f t="shared" ref="P211:P274" si="206">COMPLEX(Adc,0)</f>
        <v>23.3035714285714</v>
      </c>
      <c r="Q211" s="18" t="str">
        <f t="shared" ref="Q211:Q274" si="207">IMSUM(COMPLEX(1,0),IMDIV(COMPLEX(0,2*PI()*O211),COMPLEX(wp_lf,0)))</f>
        <v>1+2.8649239371508i</v>
      </c>
      <c r="R211" s="18">
        <f t="shared" si="167"/>
        <v>3.0344339118952055</v>
      </c>
      <c r="S211" s="18">
        <f t="shared" si="168"/>
        <v>1.2349686121623098</v>
      </c>
      <c r="T211" s="18" t="str">
        <f t="shared" ref="T211:T274" si="208">IMSUM(COMPLEX(1,0),IMDIV(COMPLEX(0,2*PI()*O211),COMPLEX(wz_esr,0)))</f>
        <v>1+0.00534785801601484i</v>
      </c>
      <c r="U211" s="18">
        <f t="shared" si="169"/>
        <v>1.0000142996904391</v>
      </c>
      <c r="V211" s="18">
        <f t="shared" si="170"/>
        <v>5.3478070347157238E-3</v>
      </c>
      <c r="W211" s="32" t="str">
        <f t="shared" ref="W211:W274" si="209">IMSUB(COMPLEX(1,0),IMDIV(COMPLEX(0,2*PI()*O211),COMPLEX(wz_rhp,0)))</f>
        <v>1-0.0130725418169252i</v>
      </c>
      <c r="X211" s="18">
        <f t="shared" si="171"/>
        <v>1.0000854420246079</v>
      </c>
      <c r="Y211" s="18">
        <f t="shared" si="172"/>
        <v>-1.3071797231831862E-2</v>
      </c>
      <c r="Z211" s="32" t="str">
        <f t="shared" ref="Z211:Z274" si="210">IMSUM(COMPLEX(1,0),IMDIV(COMPLEX(0,2*PI()*O211),COMPLEX(Q*(wsl/2),0)),IMDIV(IMPOWER(COMPLEX(0,2*PI()*O211),2),IMPOWER(COMPLEX(wsl/2,0),2)))</f>
        <v>0.99999710225616+0.0064159589582634i</v>
      </c>
      <c r="AA211" s="18">
        <f t="shared" si="173"/>
        <v>1.000017684368667</v>
      </c>
      <c r="AB211" s="18">
        <f t="shared" si="174"/>
        <v>6.415889514888232E-3</v>
      </c>
      <c r="AC211" s="68" t="str">
        <f t="shared" si="175"/>
        <v>2.42827971644906-7.28636244028462i</v>
      </c>
      <c r="AD211" s="66">
        <f t="shared" si="176"/>
        <v>17.707608737929426</v>
      </c>
      <c r="AE211" s="63">
        <f t="shared" si="177"/>
        <v>-71.568644738349462</v>
      </c>
      <c r="AF211" s="51" t="e">
        <f t="shared" si="178"/>
        <v>#NUM!</v>
      </c>
      <c r="AG211" s="51" t="str">
        <f t="shared" ref="AG211:AG274" si="211">IMSUM(COMPLEX(1,0),IMDIV(COMPLEX(0,2*PI()*O211),COMPLEX(wp_lf_DCM,0)))</f>
        <v>1-4.01089351201114i</v>
      </c>
      <c r="AH211" s="51">
        <f t="shared" si="179"/>
        <v>4.1336747289419202</v>
      </c>
      <c r="AI211" s="51">
        <f t="shared" si="180"/>
        <v>-1.3264568201323412</v>
      </c>
      <c r="AJ211" s="51" t="str">
        <f t="shared" ref="AJ211:AJ274" si="212">IMSUM(COMPLEX(1,0),IMDIV(COMPLEX(0,2*PI()*O211),COMPLEX(wz1_dcm,0)))</f>
        <v>1+0.00534785801601484i</v>
      </c>
      <c r="AK211" s="51">
        <f t="shared" si="181"/>
        <v>1.0000142996904391</v>
      </c>
      <c r="AL211" s="51">
        <f t="shared" si="182"/>
        <v>5.3478070347157238E-3</v>
      </c>
      <c r="AM211" s="51" t="e">
        <f t="shared" ref="AM211:AM274" si="213">IMSUB(COMPLEX(1,0),IMDIV(COMPLEX(0,2*PI()*O211),COMPLEX(wz2_dcm,0)))</f>
        <v>#NUM!</v>
      </c>
      <c r="AN211" s="51" t="e">
        <f t="shared" si="183"/>
        <v>#NUM!</v>
      </c>
      <c r="AO211" s="51" t="e">
        <f t="shared" si="184"/>
        <v>#NUM!</v>
      </c>
      <c r="AP211" s="60" t="e">
        <f t="shared" si="185"/>
        <v>#NUM!</v>
      </c>
      <c r="AQ211" s="51" t="e">
        <f t="shared" si="186"/>
        <v>#NUM!</v>
      </c>
      <c r="AR211" s="63" t="e">
        <f t="shared" si="187"/>
        <v>#NUM!</v>
      </c>
      <c r="AS211" s="32" t="str">
        <f t="shared" ref="AS211:AS274" si="214">COMPLEX(Adc_ea,0)</f>
        <v>-0.000170731707317073</v>
      </c>
      <c r="AT211" s="32" t="str">
        <f t="shared" ref="AT211:AT274" si="215">COMPLEX(0,2*PI()*O211*wp0_ea)</f>
        <v>0.000203218604608564i</v>
      </c>
      <c r="AU211" s="32">
        <f t="shared" si="188"/>
        <v>2.03218604608564E-4</v>
      </c>
      <c r="AV211" s="32">
        <f t="shared" si="189"/>
        <v>1.5707963267948966</v>
      </c>
      <c r="AW211" s="32" t="str">
        <f t="shared" ref="AW211:AW274" si="216">IMSUM(COMPLEX(1,0),IMDIV(COMPLEX(0,2*PI()*O211),COMPLEX(wp1_ea,0)))</f>
        <v>1+0.0432669860116737i</v>
      </c>
      <c r="AX211" s="32">
        <f t="shared" si="190"/>
        <v>1.0009355783858092</v>
      </c>
      <c r="AY211" s="32">
        <f t="shared" si="191"/>
        <v>4.3240017235129491E-2</v>
      </c>
      <c r="AZ211" s="32" t="str">
        <f t="shared" ref="AZ211:AZ274" si="217">IMSUM(COMPLEX(1,0),IMDIV(COMPLEX(0,2*PI()*O211),COMPLEX(wz_ea,0)))</f>
        <v>1+0.822072734221802i</v>
      </c>
      <c r="BA211" s="32">
        <f t="shared" si="192"/>
        <v>1.2945283235027767</v>
      </c>
      <c r="BB211" s="32">
        <f t="shared" si="193"/>
        <v>0.68805576791517609</v>
      </c>
      <c r="BC211" s="60" t="str">
        <f t="shared" si="194"/>
        <v>-0.653081848718555+0.868395056811475i</v>
      </c>
      <c r="BD211" s="51">
        <f t="shared" si="195"/>
        <v>0.72112297437437411</v>
      </c>
      <c r="BE211" s="63">
        <f t="shared" si="196"/>
        <v>126.94522107752665</v>
      </c>
      <c r="BF211" s="60" t="str">
        <f t="shared" si="197"/>
        <v>4.74157571885564+6.86729715525446i</v>
      </c>
      <c r="BG211" s="66">
        <f t="shared" si="198"/>
        <v>18.428731712303801</v>
      </c>
      <c r="BH211" s="63">
        <f t="shared" si="199"/>
        <v>55.376576339177205</v>
      </c>
      <c r="BI211" s="60" t="e">
        <f t="shared" si="203"/>
        <v>#NUM!</v>
      </c>
      <c r="BJ211" s="66" t="e">
        <f t="shared" si="200"/>
        <v>#NUM!</v>
      </c>
      <c r="BK211" s="63" t="e">
        <f t="shared" si="204"/>
        <v>#NUM!</v>
      </c>
      <c r="BL211" s="51">
        <f t="shared" si="201"/>
        <v>18.428731712303801</v>
      </c>
      <c r="BM211" s="63">
        <f t="shared" si="202"/>
        <v>55.376576339177205</v>
      </c>
    </row>
    <row r="212" spans="14:65" x14ac:dyDescent="0.3">
      <c r="N212" s="11">
        <v>94</v>
      </c>
      <c r="O212" s="52">
        <f t="shared" si="205"/>
        <v>870.96358995608091</v>
      </c>
      <c r="P212" s="50" t="str">
        <f t="shared" si="206"/>
        <v>23.3035714285714</v>
      </c>
      <c r="Q212" s="18" t="str">
        <f t="shared" si="207"/>
        <v>1+2.9316565883038i</v>
      </c>
      <c r="R212" s="18">
        <f t="shared" ref="R212:R275" si="218">IMABS(Q212)</f>
        <v>3.0975168041102021</v>
      </c>
      <c r="S212" s="18">
        <f t="shared" ref="S212:S275" si="219">IMARGUMENT(Q212)</f>
        <v>1.2420684866801968</v>
      </c>
      <c r="T212" s="18" t="str">
        <f t="shared" si="208"/>
        <v>1+0.00547242563150043i</v>
      </c>
      <c r="U212" s="18">
        <f t="shared" ref="U212:U275" si="220">IMABS(T212)</f>
        <v>1.0000149736090416</v>
      </c>
      <c r="V212" s="18">
        <f t="shared" ref="V212:V275" si="221">IMARGUMENT(T212)</f>
        <v>5.4723710040983971E-3</v>
      </c>
      <c r="W212" s="32" t="str">
        <f t="shared" si="209"/>
        <v>1-0.0133770404325566i</v>
      </c>
      <c r="X212" s="18">
        <f t="shared" ref="X212:X275" si="222">IMABS(W212)</f>
        <v>1.0000894686030517</v>
      </c>
      <c r="Y212" s="18">
        <f t="shared" ref="Y212:Y275" si="223">IMARGUMENT(W212)</f>
        <v>-1.3376242599109531E-2</v>
      </c>
      <c r="Z212" s="32" t="str">
        <f t="shared" si="210"/>
        <v>0.9999969656897+0.00656540584075185i</v>
      </c>
      <c r="AA212" s="18">
        <f t="shared" ref="AA212:AA275" si="224">IMABS(Z212)</f>
        <v>1.0000185177997758</v>
      </c>
      <c r="AB212" s="18">
        <f t="shared" ref="AB212:AB275" si="225">IMARGUMENT(Z212)</f>
        <v>6.5653314309086115E-3</v>
      </c>
      <c r="AC212" s="68" t="str">
        <f t="shared" ref="AC212:AC275" si="226">(IMDIV(IMPRODUCT(P212,T212,W212),IMPRODUCT(Q212,Z212)))</f>
        <v>2.32574069628727-7.15547434720366i</v>
      </c>
      <c r="AD212" s="66">
        <f t="shared" ref="AD212:AD275" si="227">20*LOG(IMABS(AC212))</f>
        <v>17.528922566808692</v>
      </c>
      <c r="AE212" s="63">
        <f t="shared" ref="AE212:AE275" si="228">(180/PI())*IMARGUMENT(AC212)</f>
        <v>-71.994306419279468</v>
      </c>
      <c r="AF212" s="51" t="e">
        <f t="shared" ref="AF212:AF275" si="229">COMPLEX($B$68,0)</f>
        <v>#NUM!</v>
      </c>
      <c r="AG212" s="51" t="str">
        <f t="shared" si="211"/>
        <v>1-4.10431922362533i</v>
      </c>
      <c r="AH212" s="51">
        <f t="shared" ref="AH212:AH275" si="230">IMABS(AG212)</f>
        <v>4.2243859067822429</v>
      </c>
      <c r="AI212" s="51">
        <f t="shared" ref="AI212:AI275" si="231">IMARGUMENT(AG212)</f>
        <v>-1.3318070026943427</v>
      </c>
      <c r="AJ212" s="51" t="str">
        <f t="shared" si="212"/>
        <v>1+0.00547242563150043i</v>
      </c>
      <c r="AK212" s="51">
        <f t="shared" ref="AK212:AK275" si="232">IMABS(AJ212)</f>
        <v>1.0000149736090416</v>
      </c>
      <c r="AL212" s="51">
        <f t="shared" ref="AL212:AL275" si="233">IMARGUMENT(AJ212)</f>
        <v>5.4723710040983971E-3</v>
      </c>
      <c r="AM212" s="51" t="e">
        <f t="shared" si="213"/>
        <v>#NUM!</v>
      </c>
      <c r="AN212" s="51" t="e">
        <f t="shared" ref="AN212:AN275" si="234">IMABS(AM212)</f>
        <v>#NUM!</v>
      </c>
      <c r="AO212" s="51" t="e">
        <f t="shared" ref="AO212:AO275" si="235">IMARGUMENT(AM212)</f>
        <v>#NUM!</v>
      </c>
      <c r="AP212" s="60" t="e">
        <f t="shared" ref="AP212:AP275" si="236">(IMDIV(IMPRODUCT(AF212,AJ212,AM212),IMPRODUCT(AG212)))</f>
        <v>#NUM!</v>
      </c>
      <c r="AQ212" s="51" t="e">
        <f t="shared" ref="AQ212:AQ275" si="237">20*LOG(IMABS(AP212))</f>
        <v>#NUM!</v>
      </c>
      <c r="AR212" s="63" t="e">
        <f t="shared" ref="AR212:AR275" si="238">(180/PI())*IMARGUMENT(AP212)</f>
        <v>#NUM!</v>
      </c>
      <c r="AS212" s="32" t="str">
        <f t="shared" si="214"/>
        <v>-0.000170731707317073</v>
      </c>
      <c r="AT212" s="32" t="str">
        <f t="shared" si="215"/>
        <v>0.000207952173997016i</v>
      </c>
      <c r="AU212" s="32">
        <f t="shared" ref="AU212:AU275" si="239">IMABS(AT212)</f>
        <v>2.07952173997016E-4</v>
      </c>
      <c r="AV212" s="32">
        <f t="shared" ref="AV212:AV275" si="240">IMARGUMENT(AT212)</f>
        <v>1.5707963267948966</v>
      </c>
      <c r="AW212" s="32" t="str">
        <f t="shared" si="216"/>
        <v>1+0.044274803582855i</v>
      </c>
      <c r="AX212" s="32">
        <f t="shared" ref="AX212:AX275" si="241">IMABS(AW212)</f>
        <v>1.000979649259814</v>
      </c>
      <c r="AY212" s="32">
        <f t="shared" ref="AY212:AY275" si="242">IMARGUMENT(AW212)</f>
        <v>4.4245907545396965E-2</v>
      </c>
      <c r="AZ212" s="32" t="str">
        <f t="shared" si="217"/>
        <v>1+0.841221268074247i</v>
      </c>
      <c r="BA212" s="32">
        <f t="shared" ref="BA212:BA275" si="243">IMABS(AZ212)</f>
        <v>1.3067720619375225</v>
      </c>
      <c r="BB212" s="32">
        <f t="shared" ref="BB212:BB275" si="244">IMARGUMENT(AZ212)</f>
        <v>0.69937542846959377</v>
      </c>
      <c r="BC212" s="60" t="str">
        <f t="shared" ref="BC212:BC275" si="245">IMPRODUCT(AS212,IMDIV(AZ212,IMPRODUCT(AT212,AW212)))</f>
        <v>-0.653024342545898+0.849926818487326i</v>
      </c>
      <c r="BD212" s="51">
        <f t="shared" ref="BD212:BD275" si="246">20*LOG(IMABS(BC212))</f>
        <v>0.60250622484250249</v>
      </c>
      <c r="BE212" s="63">
        <f t="shared" ref="BE212:BE275" si="247">(180/PI())*IMARGUMENT(BC212)</f>
        <v>127.53615658338408</v>
      </c>
      <c r="BF212" s="60" t="str">
        <f t="shared" ref="BF212:BF275" si="248">IMPRODUCT(AC212,BC212)</f>
        <v>4.56286425756125+6.64940832180865i</v>
      </c>
      <c r="BG212" s="66">
        <f t="shared" ref="BG212:BG275" si="249">20*LOG(IMABS(BF212))</f>
        <v>18.131428791651196</v>
      </c>
      <c r="BH212" s="63">
        <f t="shared" ref="BH212:BH275" si="250">(180/PI())*IMARGUMENT(BF212)</f>
        <v>55.54185016410463</v>
      </c>
      <c r="BI212" s="60" t="e">
        <f t="shared" si="203"/>
        <v>#NUM!</v>
      </c>
      <c r="BJ212" s="66" t="e">
        <f t="shared" ref="BJ212:BJ275" si="251">20*LOG(IMABS(BI212))</f>
        <v>#NUM!</v>
      </c>
      <c r="BK212" s="63" t="e">
        <f t="shared" si="204"/>
        <v>#NUM!</v>
      </c>
      <c r="BL212" s="51">
        <f t="shared" ref="BL212:BL275" si="252">IF($B$31=0,BJ212,BG212)</f>
        <v>18.131428791651196</v>
      </c>
      <c r="BM212" s="63">
        <f t="shared" ref="BM212:BM275" si="253">IF($B$31=0,BK212,BH212)</f>
        <v>55.54185016410463</v>
      </c>
    </row>
    <row r="213" spans="14:65" x14ac:dyDescent="0.3">
      <c r="N213" s="11">
        <v>95</v>
      </c>
      <c r="O213" s="52">
        <f t="shared" si="205"/>
        <v>891.25093813374656</v>
      </c>
      <c r="P213" s="50" t="str">
        <f t="shared" si="206"/>
        <v>23.3035714285714</v>
      </c>
      <c r="Q213" s="18" t="str">
        <f t="shared" si="207"/>
        <v>1+2.99994364258498i</v>
      </c>
      <c r="R213" s="18">
        <f t="shared" si="218"/>
        <v>3.1622241948802485</v>
      </c>
      <c r="S213" s="18">
        <f t="shared" si="219"/>
        <v>1.2490401365614661</v>
      </c>
      <c r="T213" s="18" t="str">
        <f t="shared" si="208"/>
        <v>1+0.00559989479949198i</v>
      </c>
      <c r="U213" s="18">
        <f t="shared" si="220"/>
        <v>1.0000156792879626</v>
      </c>
      <c r="V213" s="18">
        <f t="shared" si="221"/>
        <v>5.5998362652256743E-3</v>
      </c>
      <c r="W213" s="32" t="str">
        <f t="shared" si="209"/>
        <v>1-0.0136886317320915i</v>
      </c>
      <c r="X213" s="18">
        <f t="shared" si="222"/>
        <v>1.0000936849309152</v>
      </c>
      <c r="Y213" s="18">
        <f t="shared" si="223"/>
        <v>-1.3687776842475746E-2</v>
      </c>
      <c r="Z213" s="32" t="str">
        <f t="shared" si="210"/>
        <v>0.999996822687061+0.00671833378832051i</v>
      </c>
      <c r="AA213" s="18">
        <f t="shared" si="224"/>
        <v>1.0000193905085584</v>
      </c>
      <c r="AB213" s="18">
        <f t="shared" si="225"/>
        <v>6.718254056819869E-3</v>
      </c>
      <c r="AC213" s="68" t="str">
        <f t="shared" si="226"/>
        <v>2.22687190953723-7.02554587858965i</v>
      </c>
      <c r="AD213" s="66">
        <f t="shared" si="227"/>
        <v>17.349378012919964</v>
      </c>
      <c r="AE213" s="63">
        <f t="shared" si="228"/>
        <v>-72.413060730597465</v>
      </c>
      <c r="AF213" s="51" t="e">
        <f t="shared" si="229"/>
        <v>#NUM!</v>
      </c>
      <c r="AG213" s="51" t="str">
        <f t="shared" si="211"/>
        <v>1-4.199921099619i</v>
      </c>
      <c r="AH213" s="51">
        <f t="shared" si="230"/>
        <v>4.3173298742422803</v>
      </c>
      <c r="AI213" s="51">
        <f t="shared" si="231"/>
        <v>-1.3370489129976844</v>
      </c>
      <c r="AJ213" s="51" t="str">
        <f t="shared" si="212"/>
        <v>1+0.00559989479949198i</v>
      </c>
      <c r="AK213" s="51">
        <f t="shared" si="232"/>
        <v>1.0000156792879626</v>
      </c>
      <c r="AL213" s="51">
        <f t="shared" si="233"/>
        <v>5.5998362652256743E-3</v>
      </c>
      <c r="AM213" s="51" t="e">
        <f t="shared" si="213"/>
        <v>#NUM!</v>
      </c>
      <c r="AN213" s="51" t="e">
        <f t="shared" si="234"/>
        <v>#NUM!</v>
      </c>
      <c r="AO213" s="51" t="e">
        <f t="shared" si="235"/>
        <v>#NUM!</v>
      </c>
      <c r="AP213" s="60" t="e">
        <f t="shared" si="236"/>
        <v>#NUM!</v>
      </c>
      <c r="AQ213" s="51" t="e">
        <f t="shared" si="237"/>
        <v>#NUM!</v>
      </c>
      <c r="AR213" s="63" t="e">
        <f t="shared" si="238"/>
        <v>#NUM!</v>
      </c>
      <c r="AS213" s="32" t="str">
        <f t="shared" si="214"/>
        <v>-0.000170731707317073</v>
      </c>
      <c r="AT213" s="32" t="str">
        <f t="shared" si="215"/>
        <v>0.000212796002380695i</v>
      </c>
      <c r="AU213" s="32">
        <f t="shared" si="239"/>
        <v>2.1279600238069499E-4</v>
      </c>
      <c r="AV213" s="32">
        <f t="shared" si="240"/>
        <v>1.5707963267948966</v>
      </c>
      <c r="AW213" s="32" t="str">
        <f t="shared" si="216"/>
        <v>1+0.0453060962409424i</v>
      </c>
      <c r="AX213" s="32">
        <f t="shared" si="241"/>
        <v>1.0010257950505539</v>
      </c>
      <c r="AY213" s="32">
        <f t="shared" si="242"/>
        <v>4.5275135292340708E-2</v>
      </c>
      <c r="AZ213" s="32" t="str">
        <f t="shared" si="217"/>
        <v>1+0.860815828577908i</v>
      </c>
      <c r="BA213" s="32">
        <f t="shared" si="243"/>
        <v>1.3194710647567343</v>
      </c>
      <c r="BB213" s="32">
        <f t="shared" si="244"/>
        <v>0.71073979319156055</v>
      </c>
      <c r="BC213" s="60" t="str">
        <f t="shared" si="245"/>
        <v>-0.652964137044231+0.831908983054961i</v>
      </c>
      <c r="BD213" s="51">
        <f t="shared" si="246"/>
        <v>0.48610640719079079</v>
      </c>
      <c r="BE213" s="63">
        <f t="shared" si="247"/>
        <v>128.12831631274244</v>
      </c>
      <c r="BF213" s="60" t="str">
        <f t="shared" si="248"/>
        <v>4.39054723254447+6.43998424753472i</v>
      </c>
      <c r="BG213" s="66">
        <f t="shared" si="249"/>
        <v>17.835484420110749</v>
      </c>
      <c r="BH213" s="63">
        <f t="shared" si="250"/>
        <v>55.715255582144998</v>
      </c>
      <c r="BI213" s="60" t="e">
        <f t="shared" si="203"/>
        <v>#NUM!</v>
      </c>
      <c r="BJ213" s="66" t="e">
        <f t="shared" si="251"/>
        <v>#NUM!</v>
      </c>
      <c r="BK213" s="63" t="e">
        <f t="shared" si="204"/>
        <v>#NUM!</v>
      </c>
      <c r="BL213" s="51">
        <f t="shared" si="252"/>
        <v>17.835484420110749</v>
      </c>
      <c r="BM213" s="63">
        <f t="shared" si="253"/>
        <v>55.715255582144998</v>
      </c>
    </row>
    <row r="214" spans="14:65" x14ac:dyDescent="0.3">
      <c r="N214" s="11">
        <v>96</v>
      </c>
      <c r="O214" s="52">
        <f t="shared" si="205"/>
        <v>912.01083935590987</v>
      </c>
      <c r="P214" s="50" t="str">
        <f t="shared" si="206"/>
        <v>23.3035714285714</v>
      </c>
      <c r="Q214" s="18" t="str">
        <f t="shared" si="207"/>
        <v>1+3.06982130669441i</v>
      </c>
      <c r="R214" s="18">
        <f t="shared" si="218"/>
        <v>3.2285914661094823</v>
      </c>
      <c r="S214" s="18">
        <f t="shared" si="219"/>
        <v>1.255884546573917</v>
      </c>
      <c r="T214" s="18" t="str">
        <f t="shared" si="208"/>
        <v>1+0.00573033310582957i</v>
      </c>
      <c r="U214" s="18">
        <f t="shared" si="220"/>
        <v>1.0000164182239728</v>
      </c>
      <c r="V214" s="18">
        <f t="shared" si="221"/>
        <v>5.7302703852888208E-3</v>
      </c>
      <c r="W214" s="32" t="str">
        <f t="shared" si="209"/>
        <v>1-0.0140074809253612i</v>
      </c>
      <c r="X214" s="18">
        <f t="shared" si="222"/>
        <v>1.0000980999491371</v>
      </c>
      <c r="Y214" s="18">
        <f t="shared" si="223"/>
        <v>-1.4006564899486904E-2</v>
      </c>
      <c r="Z214" s="32" t="str">
        <f t="shared" si="210"/>
        <v>0.999996672944916+0.00687482388539138i</v>
      </c>
      <c r="AA214" s="18">
        <f t="shared" si="224"/>
        <v>1.0000203043460452</v>
      </c>
      <c r="AB214" s="18">
        <f t="shared" si="225"/>
        <v>6.8747384516422054E-3</v>
      </c>
      <c r="AC214" s="68" t="str">
        <f t="shared" si="226"/>
        <v>2.13157905277227-6.896659726976i</v>
      </c>
      <c r="AD214" s="66">
        <f t="shared" si="227"/>
        <v>17.169006093213014</v>
      </c>
      <c r="AE214" s="63">
        <f t="shared" si="228"/>
        <v>-72.824974318592723</v>
      </c>
      <c r="AF214" s="51" t="e">
        <f t="shared" si="229"/>
        <v>#NUM!</v>
      </c>
      <c r="AG214" s="51" t="str">
        <f t="shared" si="211"/>
        <v>1-4.29774982937219i</v>
      </c>
      <c r="AH214" s="51">
        <f t="shared" si="230"/>
        <v>4.4125563561124848</v>
      </c>
      <c r="AI214" s="51">
        <f t="shared" si="231"/>
        <v>-1.3421841775871293</v>
      </c>
      <c r="AJ214" s="51" t="str">
        <f t="shared" si="212"/>
        <v>1+0.00573033310582957i</v>
      </c>
      <c r="AK214" s="51">
        <f t="shared" si="232"/>
        <v>1.0000164182239728</v>
      </c>
      <c r="AL214" s="51">
        <f t="shared" si="233"/>
        <v>5.7302703852888208E-3</v>
      </c>
      <c r="AM214" s="51" t="e">
        <f t="shared" si="213"/>
        <v>#NUM!</v>
      </c>
      <c r="AN214" s="51" t="e">
        <f t="shared" si="234"/>
        <v>#NUM!</v>
      </c>
      <c r="AO214" s="51" t="e">
        <f t="shared" si="235"/>
        <v>#NUM!</v>
      </c>
      <c r="AP214" s="60" t="e">
        <f t="shared" si="236"/>
        <v>#NUM!</v>
      </c>
      <c r="AQ214" s="51" t="e">
        <f t="shared" si="237"/>
        <v>#NUM!</v>
      </c>
      <c r="AR214" s="63" t="e">
        <f t="shared" si="238"/>
        <v>#NUM!</v>
      </c>
      <c r="AS214" s="32" t="str">
        <f t="shared" si="214"/>
        <v>-0.000170731707317073</v>
      </c>
      <c r="AT214" s="32" t="str">
        <f t="shared" si="215"/>
        <v>0.000217752658021524i</v>
      </c>
      <c r="AU214" s="32">
        <f t="shared" si="239"/>
        <v>2.17752658021524E-4</v>
      </c>
      <c r="AV214" s="32">
        <f t="shared" si="240"/>
        <v>1.5707963267948966</v>
      </c>
      <c r="AW214" s="32" t="str">
        <f t="shared" si="216"/>
        <v>1+0.0463614107909537i</v>
      </c>
      <c r="AX214" s="32">
        <f t="shared" si="241"/>
        <v>1.0010741133455243</v>
      </c>
      <c r="AY214" s="32">
        <f t="shared" si="242"/>
        <v>4.6328237459002698E-2</v>
      </c>
      <c r="AZ214" s="32" t="str">
        <f t="shared" si="217"/>
        <v>1+0.880866805028122i</v>
      </c>
      <c r="BA214" s="32">
        <f t="shared" si="243"/>
        <v>1.3326388588812992</v>
      </c>
      <c r="BB214" s="32">
        <f t="shared" si="244"/>
        <v>0.72214314690435966</v>
      </c>
      <c r="BC214" s="60" t="str">
        <f t="shared" si="245"/>
        <v>-0.652901106041924+0.8143319801576i</v>
      </c>
      <c r="BD214" s="51">
        <f t="shared" si="246"/>
        <v>0.3719392005895103</v>
      </c>
      <c r="BE214" s="63">
        <f t="shared" si="247"/>
        <v>128.72134204323484</v>
      </c>
      <c r="BF214" s="60" t="str">
        <f t="shared" si="248"/>
        <v>4.22446025077073+6.23864975464393i</v>
      </c>
      <c r="BG214" s="66">
        <f t="shared" si="249"/>
        <v>17.54094529380253</v>
      </c>
      <c r="BH214" s="63">
        <f t="shared" si="250"/>
        <v>55.896367724642126</v>
      </c>
      <c r="BI214" s="60" t="e">
        <f t="shared" si="203"/>
        <v>#NUM!</v>
      </c>
      <c r="BJ214" s="66" t="e">
        <f t="shared" si="251"/>
        <v>#NUM!</v>
      </c>
      <c r="BK214" s="63" t="e">
        <f t="shared" si="204"/>
        <v>#NUM!</v>
      </c>
      <c r="BL214" s="51">
        <f t="shared" si="252"/>
        <v>17.54094529380253</v>
      </c>
      <c r="BM214" s="63">
        <f t="shared" si="253"/>
        <v>55.896367724642126</v>
      </c>
    </row>
    <row r="215" spans="14:65" x14ac:dyDescent="0.3">
      <c r="N215" s="11">
        <v>97</v>
      </c>
      <c r="O215" s="52">
        <f t="shared" si="205"/>
        <v>933.25430079699106</v>
      </c>
      <c r="P215" s="50" t="str">
        <f t="shared" si="206"/>
        <v>23.3035714285714</v>
      </c>
      <c r="Q215" s="18" t="str">
        <f t="shared" si="207"/>
        <v>1+3.14132663069454i</v>
      </c>
      <c r="R215" s="18">
        <f t="shared" si="218"/>
        <v>3.2966548197696874</v>
      </c>
      <c r="S215" s="18">
        <f t="shared" si="219"/>
        <v>1.2626027797788915</v>
      </c>
      <c r="T215" s="18" t="str">
        <f t="shared" si="208"/>
        <v>1+0.00586380971062981i</v>
      </c>
      <c r="U215" s="18">
        <f t="shared" si="220"/>
        <v>1.000017191984379</v>
      </c>
      <c r="V215" s="18">
        <f t="shared" si="221"/>
        <v>5.8637425044219642E-3</v>
      </c>
      <c r="W215" s="32" t="str">
        <f t="shared" si="209"/>
        <v>1-0.0143337570704284i</v>
      </c>
      <c r="X215" s="18">
        <f t="shared" si="222"/>
        <v>1.0001027230198676</v>
      </c>
      <c r="Y215" s="18">
        <f t="shared" si="223"/>
        <v>-1.4332775536464892E-2</v>
      </c>
      <c r="Z215" s="32" t="str">
        <f t="shared" si="210"/>
        <v>0.99999651614564+0.00703495910508535i</v>
      </c>
      <c r="AA215" s="18">
        <f t="shared" si="224"/>
        <v>1.0000212612504933</v>
      </c>
      <c r="AB215" s="18">
        <f t="shared" si="225"/>
        <v>7.0348675612781422E-3</v>
      </c>
      <c r="AC215" s="68" t="str">
        <f t="shared" si="226"/>
        <v>2.03976721164319-6.76889248492193i</v>
      </c>
      <c r="AD215" s="66">
        <f t="shared" si="227"/>
        <v>16.987837019942567</v>
      </c>
      <c r="AE215" s="63">
        <f t="shared" si="228"/>
        <v>-73.230118552803901</v>
      </c>
      <c r="AF215" s="51" t="e">
        <f t="shared" si="229"/>
        <v>#NUM!</v>
      </c>
      <c r="AG215" s="51" t="str">
        <f t="shared" si="211"/>
        <v>1-4.39785728297237i</v>
      </c>
      <c r="AH215" s="51">
        <f t="shared" si="230"/>
        <v>4.5101162602967468</v>
      </c>
      <c r="AI215" s="51">
        <f t="shared" si="231"/>
        <v>-1.3472144353943649</v>
      </c>
      <c r="AJ215" s="51" t="str">
        <f t="shared" si="212"/>
        <v>1+0.00586380971062981i</v>
      </c>
      <c r="AK215" s="51">
        <f t="shared" si="232"/>
        <v>1.000017191984379</v>
      </c>
      <c r="AL215" s="51">
        <f t="shared" si="233"/>
        <v>5.8637425044219642E-3</v>
      </c>
      <c r="AM215" s="51" t="e">
        <f t="shared" si="213"/>
        <v>#NUM!</v>
      </c>
      <c r="AN215" s="51" t="e">
        <f t="shared" si="234"/>
        <v>#NUM!</v>
      </c>
      <c r="AO215" s="51" t="e">
        <f t="shared" si="235"/>
        <v>#NUM!</v>
      </c>
      <c r="AP215" s="60" t="e">
        <f t="shared" si="236"/>
        <v>#NUM!</v>
      </c>
      <c r="AQ215" s="51" t="e">
        <f t="shared" si="237"/>
        <v>#NUM!</v>
      </c>
      <c r="AR215" s="63" t="e">
        <f t="shared" si="238"/>
        <v>#NUM!</v>
      </c>
      <c r="AS215" s="32" t="str">
        <f t="shared" si="214"/>
        <v>-0.000170731707317073</v>
      </c>
      <c r="AT215" s="32" t="str">
        <f t="shared" si="215"/>
        <v>0.000222824769003933i</v>
      </c>
      <c r="AU215" s="32">
        <f t="shared" si="239"/>
        <v>2.2282476900393301E-4</v>
      </c>
      <c r="AV215" s="32">
        <f t="shared" si="240"/>
        <v>1.5707963267948966</v>
      </c>
      <c r="AW215" s="32" t="str">
        <f t="shared" si="216"/>
        <v>1+0.0474413067746323i</v>
      </c>
      <c r="AX215" s="32">
        <f t="shared" si="241"/>
        <v>1.001124706312098</v>
      </c>
      <c r="AY215" s="32">
        <f t="shared" si="242"/>
        <v>4.7405763065449406E-2</v>
      </c>
      <c r="AZ215" s="32" t="str">
        <f t="shared" si="217"/>
        <v>1+0.901384828718015i</v>
      </c>
      <c r="BA215" s="32">
        <f t="shared" si="243"/>
        <v>1.3462891997795292</v>
      </c>
      <c r="BB215" s="32">
        <f t="shared" si="244"/>
        <v>0.73357967390081202</v>
      </c>
      <c r="BC215" s="60" t="str">
        <f t="shared" si="245"/>
        <v>-0.652835117521282+0.797186471962082i</v>
      </c>
      <c r="BD215" s="51">
        <f t="shared" si="246"/>
        <v>0.26001801710131195</v>
      </c>
      <c r="BE215" s="63">
        <f t="shared" si="247"/>
        <v>129.31486910285236</v>
      </c>
      <c r="BF215" s="60" t="str">
        <f t="shared" si="248"/>
        <v>4.06443785181643+6.0450455479567i</v>
      </c>
      <c r="BG215" s="66">
        <f t="shared" si="249"/>
        <v>17.247855037043884</v>
      </c>
      <c r="BH215" s="63">
        <f t="shared" si="250"/>
        <v>56.084750550048447</v>
      </c>
      <c r="BI215" s="60" t="e">
        <f t="shared" si="203"/>
        <v>#NUM!</v>
      </c>
      <c r="BJ215" s="66" t="e">
        <f t="shared" si="251"/>
        <v>#NUM!</v>
      </c>
      <c r="BK215" s="63" t="e">
        <f t="shared" si="204"/>
        <v>#NUM!</v>
      </c>
      <c r="BL215" s="51">
        <f t="shared" si="252"/>
        <v>17.247855037043884</v>
      </c>
      <c r="BM215" s="63">
        <f t="shared" si="253"/>
        <v>56.084750550048447</v>
      </c>
    </row>
    <row r="216" spans="14:65" x14ac:dyDescent="0.3">
      <c r="N216" s="11">
        <v>98</v>
      </c>
      <c r="O216" s="52">
        <f t="shared" si="205"/>
        <v>954.99258602143675</v>
      </c>
      <c r="P216" s="50" t="str">
        <f t="shared" si="206"/>
        <v>23.3035714285714</v>
      </c>
      <c r="Q216" s="18" t="str">
        <f t="shared" si="207"/>
        <v>1+3.21449752765464i</v>
      </c>
      <c r="R216" s="18">
        <f t="shared" si="218"/>
        <v>3.3664513000038769</v>
      </c>
      <c r="S216" s="18">
        <f t="shared" si="219"/>
        <v>1.2691959716255139</v>
      </c>
      <c r="T216" s="18" t="str">
        <f t="shared" si="208"/>
        <v>1+0.00600039538495533i</v>
      </c>
      <c r="U216" s="18">
        <f t="shared" si="220"/>
        <v>1.0000180022103482</v>
      </c>
      <c r="V216" s="18">
        <f t="shared" si="221"/>
        <v>6.0003233722762065E-3</v>
      </c>
      <c r="W216" s="32" t="str">
        <f t="shared" si="209"/>
        <v>1-0.0146676331632241i</v>
      </c>
      <c r="X216" s="18">
        <f t="shared" si="222"/>
        <v>1.0001075639463042</v>
      </c>
      <c r="Y216" s="18">
        <f t="shared" si="223"/>
        <v>-1.4666581436742649E-2</v>
      </c>
      <c r="Z216" s="32" t="str">
        <f t="shared" si="210"/>
        <v>0.999996351956643+0.00719882435321553i</v>
      </c>
      <c r="AA216" s="18">
        <f t="shared" si="224"/>
        <v>1.000022263251505</v>
      </c>
      <c r="AB216" s="18">
        <f t="shared" si="225"/>
        <v>7.1987262623759091E-3</v>
      </c>
      <c r="AC216" s="68" t="str">
        <f t="shared" si="226"/>
        <v>1.95134116691476-6.642314833562i</v>
      </c>
      <c r="AD216" s="66">
        <f t="shared" si="227"/>
        <v>16.805900196939696</v>
      </c>
      <c r="AE216" s="63">
        <f t="shared" si="228"/>
        <v>-73.628569193116945</v>
      </c>
      <c r="AF216" s="51" t="e">
        <f t="shared" si="229"/>
        <v>#NUM!</v>
      </c>
      <c r="AG216" s="51" t="str">
        <f t="shared" si="211"/>
        <v>1-4.50029653871651i</v>
      </c>
      <c r="AH216" s="51">
        <f t="shared" si="230"/>
        <v>4.610061706353159</v>
      </c>
      <c r="AI216" s="51">
        <f t="shared" si="231"/>
        <v>-1.3521413348078293</v>
      </c>
      <c r="AJ216" s="51" t="str">
        <f t="shared" si="212"/>
        <v>1+0.00600039538495533i</v>
      </c>
      <c r="AK216" s="51">
        <f t="shared" si="232"/>
        <v>1.0000180022103482</v>
      </c>
      <c r="AL216" s="51">
        <f t="shared" si="233"/>
        <v>6.0003233722762065E-3</v>
      </c>
      <c r="AM216" s="51" t="e">
        <f t="shared" si="213"/>
        <v>#NUM!</v>
      </c>
      <c r="AN216" s="51" t="e">
        <f t="shared" si="234"/>
        <v>#NUM!</v>
      </c>
      <c r="AO216" s="51" t="e">
        <f t="shared" si="235"/>
        <v>#NUM!</v>
      </c>
      <c r="AP216" s="60" t="e">
        <f t="shared" si="236"/>
        <v>#NUM!</v>
      </c>
      <c r="AQ216" s="51" t="e">
        <f t="shared" si="237"/>
        <v>#NUM!</v>
      </c>
      <c r="AR216" s="63" t="e">
        <f t="shared" si="238"/>
        <v>#NUM!</v>
      </c>
      <c r="AS216" s="32" t="str">
        <f t="shared" si="214"/>
        <v>-0.000170731707317073</v>
      </c>
      <c r="AT216" s="32" t="str">
        <f t="shared" si="215"/>
        <v>0.000228015024628302i</v>
      </c>
      <c r="AU216" s="32">
        <f t="shared" si="239"/>
        <v>2.2801502462830201E-4</v>
      </c>
      <c r="AV216" s="32">
        <f t="shared" si="240"/>
        <v>1.5707963267948966</v>
      </c>
      <c r="AW216" s="32" t="str">
        <f t="shared" si="216"/>
        <v>1+0.0485463567671227i</v>
      </c>
      <c r="AX216" s="32">
        <f t="shared" si="241"/>
        <v>1.0011776809115158</v>
      </c>
      <c r="AY216" s="32">
        <f t="shared" si="242"/>
        <v>4.8508273415740745E-2</v>
      </c>
      <c r="AZ216" s="32" t="str">
        <f t="shared" si="217"/>
        <v>1+0.922380778575334i</v>
      </c>
      <c r="BA216" s="32">
        <f t="shared" si="243"/>
        <v>1.3604360700471152</v>
      </c>
      <c r="BB216" s="32">
        <f t="shared" si="244"/>
        <v>0.74504347228467149</v>
      </c>
      <c r="BC216" s="60" t="str">
        <f t="shared" si="245"/>
        <v>-0.65276603335262+0.780463348122226i</v>
      </c>
      <c r="BD216" s="51">
        <f t="shared" si="246"/>
        <v>0.15035394101339808</v>
      </c>
      <c r="BE216" s="63">
        <f t="shared" si="247"/>
        <v>129.90852717749519</v>
      </c>
      <c r="BF216" s="60" t="str">
        <f t="shared" si="248"/>
        <v>3.9103140410391+5.85882776664256i</v>
      </c>
      <c r="BG216" s="66">
        <f t="shared" si="249"/>
        <v>16.956254137953092</v>
      </c>
      <c r="BH216" s="63">
        <f t="shared" si="250"/>
        <v>56.279957984378271</v>
      </c>
      <c r="BI216" s="60" t="e">
        <f t="shared" si="203"/>
        <v>#NUM!</v>
      </c>
      <c r="BJ216" s="66" t="e">
        <f t="shared" si="251"/>
        <v>#NUM!</v>
      </c>
      <c r="BK216" s="63" t="e">
        <f t="shared" si="204"/>
        <v>#NUM!</v>
      </c>
      <c r="BL216" s="51">
        <f t="shared" si="252"/>
        <v>16.956254137953092</v>
      </c>
      <c r="BM216" s="63">
        <f t="shared" si="253"/>
        <v>56.279957984378271</v>
      </c>
    </row>
    <row r="217" spans="14:65" x14ac:dyDescent="0.3">
      <c r="N217" s="11">
        <v>99</v>
      </c>
      <c r="O217" s="52">
        <f t="shared" si="205"/>
        <v>977.23722095581138</v>
      </c>
      <c r="P217" s="50" t="str">
        <f t="shared" si="206"/>
        <v>23.3035714285714</v>
      </c>
      <c r="Q217" s="18" t="str">
        <f t="shared" si="207"/>
        <v>1+3.2893727937528i</v>
      </c>
      <c r="R217" s="18">
        <f t="shared" si="218"/>
        <v>3.4380188155798539</v>
      </c>
      <c r="S217" s="18">
        <f t="shared" si="219"/>
        <v>1.2756653242349967</v>
      </c>
      <c r="T217" s="18" t="str">
        <f t="shared" si="208"/>
        <v>1+0.00614016254833857i</v>
      </c>
      <c r="U217" s="18">
        <f t="shared" si="220"/>
        <v>1.0000188506203871</v>
      </c>
      <c r="V217" s="18">
        <f t="shared" si="221"/>
        <v>6.1400853854412249E-3</v>
      </c>
      <c r="W217" s="32" t="str">
        <f t="shared" si="209"/>
        <v>1-0.0150092862292721i</v>
      </c>
      <c r="X217" s="18">
        <f t="shared" si="222"/>
        <v>1.0001126329934604</v>
      </c>
      <c r="Y217" s="18">
        <f t="shared" si="223"/>
        <v>-1.5008159290897924E-2</v>
      </c>
      <c r="Z217" s="32" t="str">
        <f t="shared" si="210"/>
        <v>0.999996180029656+0.00736650651330549i</v>
      </c>
      <c r="AA217" s="18">
        <f t="shared" si="224"/>
        <v>1.0000233124743216</v>
      </c>
      <c r="AB217" s="18">
        <f t="shared" si="225"/>
        <v>7.3664014072085384E-3</v>
      </c>
      <c r="AC217" s="68" t="str">
        <f t="shared" si="226"/>
        <v>1.86620567711498-6.51699174033754i</v>
      </c>
      <c r="AD217" s="66">
        <f t="shared" si="227"/>
        <v>16.62322421840414</v>
      </c>
      <c r="AE217" s="63">
        <f t="shared" si="228"/>
        <v>-74.020406067878042</v>
      </c>
      <c r="AF217" s="51" t="e">
        <f t="shared" si="229"/>
        <v>#NUM!</v>
      </c>
      <c r="AG217" s="51" t="str">
        <f t="shared" si="211"/>
        <v>1-4.60512191125394i</v>
      </c>
      <c r="AH217" s="51">
        <f t="shared" si="230"/>
        <v>4.712446054599579</v>
      </c>
      <c r="AI217" s="51">
        <f t="shared" si="231"/>
        <v>-1.3569665309235877</v>
      </c>
      <c r="AJ217" s="51" t="str">
        <f t="shared" si="212"/>
        <v>1+0.00614016254833857i</v>
      </c>
      <c r="AK217" s="51">
        <f t="shared" si="232"/>
        <v>1.0000188506203871</v>
      </c>
      <c r="AL217" s="51">
        <f t="shared" si="233"/>
        <v>6.1400853854412249E-3</v>
      </c>
      <c r="AM217" s="51" t="e">
        <f t="shared" si="213"/>
        <v>#NUM!</v>
      </c>
      <c r="AN217" s="51" t="e">
        <f t="shared" si="234"/>
        <v>#NUM!</v>
      </c>
      <c r="AO217" s="51" t="e">
        <f t="shared" si="235"/>
        <v>#NUM!</v>
      </c>
      <c r="AP217" s="60" t="e">
        <f t="shared" si="236"/>
        <v>#NUM!</v>
      </c>
      <c r="AQ217" s="51" t="e">
        <f t="shared" si="237"/>
        <v>#NUM!</v>
      </c>
      <c r="AR217" s="63" t="e">
        <f t="shared" si="238"/>
        <v>#NUM!</v>
      </c>
      <c r="AS217" s="32" t="str">
        <f t="shared" si="214"/>
        <v>-0.000170731707317073</v>
      </c>
      <c r="AT217" s="32" t="str">
        <f t="shared" si="215"/>
        <v>0.000233326176836865i</v>
      </c>
      <c r="AU217" s="32">
        <f t="shared" si="239"/>
        <v>2.3332617683686501E-4</v>
      </c>
      <c r="AV217" s="32">
        <f t="shared" si="240"/>
        <v>1.5707963267948966</v>
      </c>
      <c r="AW217" s="32" t="str">
        <f t="shared" si="216"/>
        <v>1+0.0496771466805581i</v>
      </c>
      <c r="AX217" s="32">
        <f t="shared" si="241"/>
        <v>1.0012331491227813</v>
      </c>
      <c r="AY217" s="32">
        <f t="shared" si="242"/>
        <v>4.9636342348296884E-2</v>
      </c>
      <c r="AZ217" s="32" t="str">
        <f t="shared" si="217"/>
        <v>1+0.943865786930605i</v>
      </c>
      <c r="BA217" s="32">
        <f t="shared" si="243"/>
        <v>1.3750936781681931</v>
      </c>
      <c r="BB217" s="32">
        <f t="shared" si="244"/>
        <v>0.75652856885297526</v>
      </c>
      <c r="BC217" s="60" t="str">
        <f t="shared" si="245"/>
        <v>-0.652693709016728+0.764153720856792i</v>
      </c>
      <c r="BD217" s="51">
        <f t="shared" si="246"/>
        <v>4.295567706225787E-2</v>
      </c>
      <c r="BE217" s="63">
        <f t="shared" si="247"/>
        <v>130.50194114932387</v>
      </c>
      <c r="BF217" s="60" t="str">
        <f t="shared" si="248"/>
        <v>3.76192278198766+5.67966752268377i</v>
      </c>
      <c r="BG217" s="66">
        <f t="shared" si="249"/>
        <v>16.666179895466399</v>
      </c>
      <c r="BH217" s="63">
        <f t="shared" si="250"/>
        <v>56.481535081445863</v>
      </c>
      <c r="BI217" s="60" t="e">
        <f t="shared" si="203"/>
        <v>#NUM!</v>
      </c>
      <c r="BJ217" s="66" t="e">
        <f t="shared" si="251"/>
        <v>#NUM!</v>
      </c>
      <c r="BK217" s="63" t="e">
        <f t="shared" si="204"/>
        <v>#NUM!</v>
      </c>
      <c r="BL217" s="51">
        <f t="shared" si="252"/>
        <v>16.666179895466399</v>
      </c>
      <c r="BM217" s="63">
        <f t="shared" si="253"/>
        <v>56.481535081445863</v>
      </c>
    </row>
    <row r="218" spans="14:65" x14ac:dyDescent="0.3">
      <c r="N218" s="11">
        <v>100</v>
      </c>
      <c r="O218" s="52">
        <f t="shared" si="205"/>
        <v>1000</v>
      </c>
      <c r="P218" s="50" t="str">
        <f t="shared" si="206"/>
        <v>23.3035714285714</v>
      </c>
      <c r="Q218" s="18" t="str">
        <f t="shared" si="207"/>
        <v>1+3.3659921288462i</v>
      </c>
      <c r="R218" s="18">
        <f t="shared" si="218"/>
        <v>3.5113961627043127</v>
      </c>
      <c r="S218" s="18">
        <f t="shared" si="219"/>
        <v>1.2820121008830692</v>
      </c>
      <c r="T218" s="18" t="str">
        <f t="shared" si="208"/>
        <v>1+0.00628318530717959i</v>
      </c>
      <c r="U218" s="18">
        <f t="shared" si="220"/>
        <v>1.0000197390139878</v>
      </c>
      <c r="V218" s="18">
        <f t="shared" si="221"/>
        <v>6.28310262573358E-3</v>
      </c>
      <c r="W218" s="32" t="str">
        <f t="shared" si="209"/>
        <v>1-0.0153588974175501i</v>
      </c>
      <c r="X218" s="18">
        <f t="shared" si="222"/>
        <v>1.0001179409099124</v>
      </c>
      <c r="Y218" s="18">
        <f t="shared" si="223"/>
        <v>-1.5357689889017152E-2</v>
      </c>
      <c r="Z218" s="32" t="str">
        <f t="shared" si="210"/>
        <v>0.999996+0.00753809449265603i</v>
      </c>
      <c r="AA218" s="18">
        <f t="shared" si="224"/>
        <v>1.0000244111443382</v>
      </c>
      <c r="AB218" s="18">
        <f t="shared" si="225"/>
        <v>7.5379818695914423E-3</v>
      </c>
      <c r="AC218" s="68" t="str">
        <f t="shared" si="226"/>
        <v>1.78426573837003-6.39298266394795i</v>
      </c>
      <c r="AD218" s="66">
        <f t="shared" si="227"/>
        <v>16.439836870021264</v>
      </c>
      <c r="AE218" s="63">
        <f t="shared" si="228"/>
        <v>-74.405712763482796</v>
      </c>
      <c r="AF218" s="51" t="e">
        <f t="shared" si="229"/>
        <v>#NUM!</v>
      </c>
      <c r="AG218" s="51" t="str">
        <f t="shared" si="211"/>
        <v>1-4.7123889803847i</v>
      </c>
      <c r="AH218" s="51">
        <f t="shared" si="230"/>
        <v>4.8173239358020288</v>
      </c>
      <c r="AI218" s="51">
        <f t="shared" si="231"/>
        <v>-1.3616916829711641</v>
      </c>
      <c r="AJ218" s="51" t="str">
        <f t="shared" si="212"/>
        <v>1+0.00628318530717959i</v>
      </c>
      <c r="AK218" s="51">
        <f t="shared" si="232"/>
        <v>1.0000197390139878</v>
      </c>
      <c r="AL218" s="51">
        <f t="shared" si="233"/>
        <v>6.28310262573358E-3</v>
      </c>
      <c r="AM218" s="51" t="e">
        <f t="shared" si="213"/>
        <v>#NUM!</v>
      </c>
      <c r="AN218" s="51" t="e">
        <f t="shared" si="234"/>
        <v>#NUM!</v>
      </c>
      <c r="AO218" s="51" t="e">
        <f t="shared" si="235"/>
        <v>#NUM!</v>
      </c>
      <c r="AP218" s="60" t="e">
        <f t="shared" si="236"/>
        <v>#NUM!</v>
      </c>
      <c r="AQ218" s="51" t="e">
        <f t="shared" si="237"/>
        <v>#NUM!</v>
      </c>
      <c r="AR218" s="63" t="e">
        <f t="shared" si="238"/>
        <v>#NUM!</v>
      </c>
      <c r="AS218" s="32" t="str">
        <f t="shared" si="214"/>
        <v>-0.000170731707317073</v>
      </c>
      <c r="AT218" s="32" t="str">
        <f t="shared" si="215"/>
        <v>0.000238761041672824i</v>
      </c>
      <c r="AU218" s="32">
        <f t="shared" si="239"/>
        <v>2.38761041672824E-4</v>
      </c>
      <c r="AV218" s="32">
        <f t="shared" si="240"/>
        <v>1.5707963267948966</v>
      </c>
      <c r="AW218" s="32" t="str">
        <f t="shared" si="216"/>
        <v>1+0.0508342760747182i</v>
      </c>
      <c r="AX218" s="32">
        <f t="shared" si="241"/>
        <v>1.001291228176918</v>
      </c>
      <c r="AY218" s="32">
        <f t="shared" si="242"/>
        <v>5.0790556489574562E-2</v>
      </c>
      <c r="AZ218" s="32" t="str">
        <f t="shared" si="217"/>
        <v>1+0.965851245419647i</v>
      </c>
      <c r="BA218" s="32">
        <f t="shared" si="243"/>
        <v>1.3902764574999762</v>
      </c>
      <c r="BB218" s="32">
        <f t="shared" si="244"/>
        <v>0.76802893443012887</v>
      </c>
      <c r="BC218" s="60" t="str">
        <f t="shared" si="245"/>
        <v>-0.652617993315264+0.748248920139068i</v>
      </c>
      <c r="BD218" s="51">
        <f t="shared" si="246"/>
        <v>-6.2170492016079971E-2</v>
      </c>
      <c r="BE218" s="63">
        <f t="shared" si="247"/>
        <v>131.09473196080273</v>
      </c>
      <c r="BF218" s="60" t="str">
        <f t="shared" si="248"/>
        <v>3.61909844905061+5.50725042942149i</v>
      </c>
      <c r="BG218" s="66">
        <f t="shared" si="249"/>
        <v>16.377666378005177</v>
      </c>
      <c r="BH218" s="63">
        <f t="shared" si="250"/>
        <v>56.689019197319915</v>
      </c>
      <c r="BI218" s="60" t="e">
        <f t="shared" si="203"/>
        <v>#NUM!</v>
      </c>
      <c r="BJ218" s="66" t="e">
        <f t="shared" si="251"/>
        <v>#NUM!</v>
      </c>
      <c r="BK218" s="63" t="e">
        <f t="shared" si="204"/>
        <v>#NUM!</v>
      </c>
      <c r="BL218" s="51">
        <f t="shared" si="252"/>
        <v>16.377666378005177</v>
      </c>
      <c r="BM218" s="63">
        <f t="shared" si="253"/>
        <v>56.689019197319915</v>
      </c>
    </row>
    <row r="219" spans="14:65" x14ac:dyDescent="0.3">
      <c r="N219" s="11">
        <v>1</v>
      </c>
      <c r="O219" s="52">
        <f>10^(3+(N219/100))</f>
        <v>1023.2929922807547</v>
      </c>
      <c r="P219" s="50" t="str">
        <f t="shared" si="206"/>
        <v>23.3035714285714</v>
      </c>
      <c r="Q219" s="18" t="str">
        <f t="shared" si="207"/>
        <v>1+3.4443961575205i</v>
      </c>
      <c r="R219" s="18">
        <f t="shared" si="218"/>
        <v>3.5866230482087165</v>
      </c>
      <c r="S219" s="18">
        <f t="shared" si="219"/>
        <v>1.2882376206867212</v>
      </c>
      <c r="T219" s="18" t="str">
        <f t="shared" si="208"/>
        <v>1+0.00642953949403827i</v>
      </c>
      <c r="U219" s="18">
        <f t="shared" si="220"/>
        <v>1.0000206692754432</v>
      </c>
      <c r="V219" s="18">
        <f t="shared" si="221"/>
        <v>6.4294508993715839E-3</v>
      </c>
      <c r="W219" s="32" t="str">
        <f t="shared" si="209"/>
        <v>1-0.015716652096538i</v>
      </c>
      <c r="X219" s="18">
        <f t="shared" si="222"/>
        <v>1.0001234989505663</v>
      </c>
      <c r="Y219" s="18">
        <f t="shared" si="223"/>
        <v>-1.57153582150324E-2</v>
      </c>
      <c r="Z219" s="32" t="str">
        <f t="shared" si="210"/>
        <v>0.999995811485808+0.00771367926948506i</v>
      </c>
      <c r="AA219" s="18">
        <f t="shared" si="224"/>
        <v>1.0000255615918185</v>
      </c>
      <c r="AB219" s="18">
        <f t="shared" si="225"/>
        <v>7.7135585918625179E-3</v>
      </c>
      <c r="AC219" s="68" t="str">
        <f t="shared" si="226"/>
        <v>1.70542682210631-6.27034176471188i</v>
      </c>
      <c r="AD219" s="66">
        <f t="shared" si="227"/>
        <v>16.255765132210968</v>
      </c>
      <c r="AE219" s="63">
        <f t="shared" si="228"/>
        <v>-74.784576325801751</v>
      </c>
      <c r="AF219" s="51" t="e">
        <f t="shared" si="229"/>
        <v>#NUM!</v>
      </c>
      <c r="AG219" s="51" t="str">
        <f t="shared" si="211"/>
        <v>1-4.82215462052871i</v>
      </c>
      <c r="AH219" s="51">
        <f t="shared" si="230"/>
        <v>4.9247512814645154</v>
      </c>
      <c r="AI219" s="51">
        <f t="shared" si="231"/>
        <v>-1.366318451908044</v>
      </c>
      <c r="AJ219" s="51" t="str">
        <f t="shared" si="212"/>
        <v>1+0.00642953949403827i</v>
      </c>
      <c r="AK219" s="51">
        <f t="shared" si="232"/>
        <v>1.0000206692754432</v>
      </c>
      <c r="AL219" s="51">
        <f t="shared" si="233"/>
        <v>6.4294508993715839E-3</v>
      </c>
      <c r="AM219" s="51" t="e">
        <f t="shared" si="213"/>
        <v>#NUM!</v>
      </c>
      <c r="AN219" s="51" t="e">
        <f t="shared" si="234"/>
        <v>#NUM!</v>
      </c>
      <c r="AO219" s="51" t="e">
        <f t="shared" si="235"/>
        <v>#NUM!</v>
      </c>
      <c r="AP219" s="60" t="e">
        <f t="shared" si="236"/>
        <v>#NUM!</v>
      </c>
      <c r="AQ219" s="51" t="e">
        <f t="shared" si="237"/>
        <v>#NUM!</v>
      </c>
      <c r="AR219" s="63" t="e">
        <f t="shared" si="238"/>
        <v>#NUM!</v>
      </c>
      <c r="AS219" s="32" t="str">
        <f t="shared" si="214"/>
        <v>-0.000170731707317073</v>
      </c>
      <c r="AT219" s="32" t="str">
        <f t="shared" si="215"/>
        <v>0.000244322500773454i</v>
      </c>
      <c r="AU219" s="32">
        <f t="shared" si="239"/>
        <v>2.44322500773454E-4</v>
      </c>
      <c r="AV219" s="32">
        <f t="shared" si="240"/>
        <v>1.5707963267948966</v>
      </c>
      <c r="AW219" s="32" t="str">
        <f t="shared" si="216"/>
        <v>1+0.0520183584749243i</v>
      </c>
      <c r="AX219" s="32">
        <f t="shared" si="241"/>
        <v>1.0013520408020475</v>
      </c>
      <c r="AY219" s="32">
        <f t="shared" si="242"/>
        <v>5.1971515510956745E-2</v>
      </c>
      <c r="AZ219" s="32" t="str">
        <f t="shared" si="217"/>
        <v>1+0.988348811023563i</v>
      </c>
      <c r="BA219" s="32">
        <f t="shared" si="243"/>
        <v>1.4059990655230503</v>
      </c>
      <c r="BB219" s="32">
        <f t="shared" si="244"/>
        <v>0.77953849955923482</v>
      </c>
      <c r="BC219" s="60" t="str">
        <f t="shared" si="245"/>
        <v>-0.652538728068588+0.732740488995037i</v>
      </c>
      <c r="BD219" s="51">
        <f t="shared" si="246"/>
        <v>-0.16502073825702313</v>
      </c>
      <c r="BE219" s="63">
        <f t="shared" si="247"/>
        <v>131.68651749902841</v>
      </c>
      <c r="BF219" s="60" t="str">
        <f t="shared" si="248"/>
        <v>3.48167624152968+5.34127612327586i</v>
      </c>
      <c r="BG219" s="66">
        <f t="shared" si="249"/>
        <v>16.090744393953937</v>
      </c>
      <c r="BH219" s="63">
        <f t="shared" si="250"/>
        <v>56.901941173226646</v>
      </c>
      <c r="BI219" s="60" t="e">
        <f t="shared" si="203"/>
        <v>#NUM!</v>
      </c>
      <c r="BJ219" s="66" t="e">
        <f t="shared" si="251"/>
        <v>#NUM!</v>
      </c>
      <c r="BK219" s="63" t="e">
        <f t="shared" si="204"/>
        <v>#NUM!</v>
      </c>
      <c r="BL219" s="51">
        <f t="shared" si="252"/>
        <v>16.090744393953937</v>
      </c>
      <c r="BM219" s="63">
        <f t="shared" si="253"/>
        <v>56.901941173226646</v>
      </c>
    </row>
    <row r="220" spans="14:65" x14ac:dyDescent="0.3">
      <c r="N220" s="11">
        <v>2</v>
      </c>
      <c r="O220" s="52">
        <f t="shared" ref="O220:O283" si="254">10^(3+(N220/100))</f>
        <v>1047.1285480509</v>
      </c>
      <c r="P220" s="50" t="str">
        <f t="shared" si="206"/>
        <v>23.3035714285714</v>
      </c>
      <c r="Q220" s="18" t="str">
        <f t="shared" si="207"/>
        <v>1+3.52462645062948i</v>
      </c>
      <c r="R220" s="18">
        <f t="shared" si="218"/>
        <v>3.6637401131189651</v>
      </c>
      <c r="S220" s="18">
        <f t="shared" si="219"/>
        <v>1.2943432534997501</v>
      </c>
      <c r="T220" s="18" t="str">
        <f t="shared" si="208"/>
        <v>1+0.00657930270784171i</v>
      </c>
      <c r="U220" s="18">
        <f t="shared" si="220"/>
        <v>1.0000216433778428</v>
      </c>
      <c r="V220" s="18">
        <f t="shared" si="221"/>
        <v>6.5792077770569796E-3</v>
      </c>
      <c r="W220" s="32" t="str">
        <f t="shared" si="209"/>
        <v>1-0.016082739952502i</v>
      </c>
      <c r="X220" s="18">
        <f t="shared" si="222"/>
        <v>1.0001293189005009</v>
      </c>
      <c r="Y220" s="18">
        <f t="shared" si="223"/>
        <v>-1.6081353543171889E-2</v>
      </c>
      <c r="Z220" s="32" t="str">
        <f t="shared" si="210"/>
        <v>0.999995614087215+0.00789335394116539i</v>
      </c>
      <c r="AA220" s="18">
        <f t="shared" si="224"/>
        <v>1.000026766256837</v>
      </c>
      <c r="AB220" s="18">
        <f t="shared" si="225"/>
        <v>7.8932246329486873E-3</v>
      </c>
      <c r="AC220" s="68" t="str">
        <f t="shared" si="226"/>
        <v>1.62959509139175-6.14911811868208i</v>
      </c>
      <c r="AD220" s="66">
        <f t="shared" si="227"/>
        <v>16.07103518532443</v>
      </c>
      <c r="AE220" s="63">
        <f t="shared" si="228"/>
        <v>-75.157086973700387</v>
      </c>
      <c r="AF220" s="51" t="e">
        <f t="shared" si="229"/>
        <v>#NUM!</v>
      </c>
      <c r="AG220" s="51" t="str">
        <f t="shared" si="211"/>
        <v>1-4.93447703088129i</v>
      </c>
      <c r="AH220" s="51">
        <f t="shared" si="230"/>
        <v>5.0347853547390713</v>
      </c>
      <c r="AI220" s="51">
        <f t="shared" si="231"/>
        <v>-1.3708484981764266</v>
      </c>
      <c r="AJ220" s="51" t="str">
        <f t="shared" si="212"/>
        <v>1+0.00657930270784171i</v>
      </c>
      <c r="AK220" s="51">
        <f t="shared" si="232"/>
        <v>1.0000216433778428</v>
      </c>
      <c r="AL220" s="51">
        <f t="shared" si="233"/>
        <v>6.5792077770569796E-3</v>
      </c>
      <c r="AM220" s="51" t="e">
        <f t="shared" si="213"/>
        <v>#NUM!</v>
      </c>
      <c r="AN220" s="51" t="e">
        <f t="shared" si="234"/>
        <v>#NUM!</v>
      </c>
      <c r="AO220" s="51" t="e">
        <f t="shared" si="235"/>
        <v>#NUM!</v>
      </c>
      <c r="AP220" s="60" t="e">
        <f t="shared" si="236"/>
        <v>#NUM!</v>
      </c>
      <c r="AQ220" s="51" t="e">
        <f t="shared" si="237"/>
        <v>#NUM!</v>
      </c>
      <c r="AR220" s="63" t="e">
        <f t="shared" si="238"/>
        <v>#NUM!</v>
      </c>
      <c r="AS220" s="32" t="str">
        <f t="shared" si="214"/>
        <v>-0.000170731707317073</v>
      </c>
      <c r="AT220" s="32" t="str">
        <f t="shared" si="215"/>
        <v>0.000250013502897985i</v>
      </c>
      <c r="AU220" s="32">
        <f t="shared" si="239"/>
        <v>2.5001350289798502E-4</v>
      </c>
      <c r="AV220" s="32">
        <f t="shared" si="240"/>
        <v>1.5707963267948966</v>
      </c>
      <c r="AW220" s="32" t="str">
        <f t="shared" si="216"/>
        <v>1+0.0532300216973382i</v>
      </c>
      <c r="AX220" s="32">
        <f t="shared" si="241"/>
        <v>1.0014157154797896</v>
      </c>
      <c r="AY220" s="32">
        <f t="shared" si="242"/>
        <v>5.3179832388740314E-2</v>
      </c>
      <c r="AZ220" s="32" t="str">
        <f t="shared" si="217"/>
        <v>1+1.01137041224943i</v>
      </c>
      <c r="BA220" s="32">
        <f t="shared" si="243"/>
        <v>1.4222763833986636</v>
      </c>
      <c r="BB220" s="32">
        <f t="shared" si="244"/>
        <v>0.79105117045196305</v>
      </c>
      <c r="BC220" s="60" t="str">
        <f t="shared" si="245"/>
        <v>-0.652455747800545+0.717620178907203i</v>
      </c>
      <c r="BD220" s="51">
        <f t="shared" si="246"/>
        <v>-0.26559371129013398</v>
      </c>
      <c r="BE220" s="63">
        <f t="shared" si="247"/>
        <v>132.27691349469339</v>
      </c>
      <c r="BF220" s="60" t="str">
        <f t="shared" si="248"/>
        <v>3.34949256048406+5.18145778146944i</v>
      </c>
      <c r="BG220" s="66">
        <f t="shared" si="249"/>
        <v>15.805441474034295</v>
      </c>
      <c r="BH220" s="63">
        <f t="shared" si="250"/>
        <v>57.119826520992945</v>
      </c>
      <c r="BI220" s="60" t="e">
        <f t="shared" si="203"/>
        <v>#NUM!</v>
      </c>
      <c r="BJ220" s="66" t="e">
        <f t="shared" si="251"/>
        <v>#NUM!</v>
      </c>
      <c r="BK220" s="63" t="e">
        <f t="shared" si="204"/>
        <v>#NUM!</v>
      </c>
      <c r="BL220" s="51">
        <f t="shared" si="252"/>
        <v>15.805441474034295</v>
      </c>
      <c r="BM220" s="63">
        <f t="shared" si="253"/>
        <v>57.119826520992945</v>
      </c>
    </row>
    <row r="221" spans="14:65" x14ac:dyDescent="0.3">
      <c r="N221" s="11">
        <v>3</v>
      </c>
      <c r="O221" s="52">
        <f t="shared" si="254"/>
        <v>1071.5193052376069</v>
      </c>
      <c r="P221" s="50" t="str">
        <f t="shared" si="206"/>
        <v>23.3035714285714</v>
      </c>
      <c r="Q221" s="18" t="str">
        <f t="shared" si="207"/>
        <v>1+3.60672554733653i</v>
      </c>
      <c r="R221" s="18">
        <f t="shared" si="218"/>
        <v>3.7427889566217849</v>
      </c>
      <c r="S221" s="18">
        <f t="shared" si="219"/>
        <v>1.3003304150200659</v>
      </c>
      <c r="T221" s="18" t="str">
        <f t="shared" si="208"/>
        <v>1+0.00673255435502821i</v>
      </c>
      <c r="U221" s="18">
        <f t="shared" si="220"/>
        <v>1.0000226633872571</v>
      </c>
      <c r="V221" s="18">
        <f t="shared" si="221"/>
        <v>6.7324526349842144E-3</v>
      </c>
      <c r="W221" s="32" t="str">
        <f t="shared" si="209"/>
        <v>1-0.016457355090069i</v>
      </c>
      <c r="X221" s="18">
        <f t="shared" si="222"/>
        <v>1.0001354130999265</v>
      </c>
      <c r="Y221" s="18">
        <f t="shared" si="223"/>
        <v>-1.6455869536569832E-2</v>
      </c>
      <c r="Z221" s="32" t="str">
        <f t="shared" si="210"/>
        <v>0.999995407385514+0.00807721377358622i</v>
      </c>
      <c r="AA221" s="18">
        <f t="shared" si="224"/>
        <v>1.0000280276944562</v>
      </c>
      <c r="AB221" s="18">
        <f t="shared" si="225"/>
        <v>8.0770752175438922E-3</v>
      </c>
      <c r="AC221" s="68" t="str">
        <f t="shared" si="226"/>
        <v>1.55667759675975-6.0293559340053i</v>
      </c>
      <c r="AD221" s="66">
        <f t="shared" si="227"/>
        <v>15.885672416608582</v>
      </c>
      <c r="AE221" s="63">
        <f t="shared" si="228"/>
        <v>-75.523337824826498</v>
      </c>
      <c r="AF221" s="51" t="e">
        <f t="shared" si="229"/>
        <v>#NUM!</v>
      </c>
      <c r="AG221" s="51" t="str">
        <f t="shared" si="211"/>
        <v>1-5.04941576627117i</v>
      </c>
      <c r="AH221" s="51">
        <f t="shared" si="230"/>
        <v>5.1474847819753542</v>
      </c>
      <c r="AI221" s="51">
        <f t="shared" si="231"/>
        <v>-1.3752834796157163</v>
      </c>
      <c r="AJ221" s="51" t="str">
        <f t="shared" si="212"/>
        <v>1+0.00673255435502821i</v>
      </c>
      <c r="AK221" s="51">
        <f t="shared" si="232"/>
        <v>1.0000226633872571</v>
      </c>
      <c r="AL221" s="51">
        <f t="shared" si="233"/>
        <v>6.7324526349842144E-3</v>
      </c>
      <c r="AM221" s="51" t="e">
        <f t="shared" si="213"/>
        <v>#NUM!</v>
      </c>
      <c r="AN221" s="51" t="e">
        <f t="shared" si="234"/>
        <v>#NUM!</v>
      </c>
      <c r="AO221" s="51" t="e">
        <f t="shared" si="235"/>
        <v>#NUM!</v>
      </c>
      <c r="AP221" s="60" t="e">
        <f t="shared" si="236"/>
        <v>#NUM!</v>
      </c>
      <c r="AQ221" s="51" t="e">
        <f t="shared" si="237"/>
        <v>#NUM!</v>
      </c>
      <c r="AR221" s="63" t="e">
        <f t="shared" si="238"/>
        <v>#NUM!</v>
      </c>
      <c r="AS221" s="32" t="str">
        <f t="shared" si="214"/>
        <v>-0.000170731707317073</v>
      </c>
      <c r="AT221" s="32" t="str">
        <f t="shared" si="215"/>
        <v>0.000255837065491072i</v>
      </c>
      <c r="AU221" s="32">
        <f t="shared" si="239"/>
        <v>2.5583706549107201E-4</v>
      </c>
      <c r="AV221" s="32">
        <f t="shared" si="240"/>
        <v>1.5707963267948966</v>
      </c>
      <c r="AW221" s="32" t="str">
        <f t="shared" si="216"/>
        <v>1+0.0544699081818387i</v>
      </c>
      <c r="AX221" s="32">
        <f t="shared" si="241"/>
        <v>1.0014823867134848</v>
      </c>
      <c r="AY221" s="32">
        <f t="shared" si="242"/>
        <v>5.441613366709476E-2</v>
      </c>
      <c r="AZ221" s="32" t="str">
        <f t="shared" si="217"/>
        <v>1+1.03492825545494i</v>
      </c>
      <c r="BA221" s="32">
        <f t="shared" si="243"/>
        <v>1.4391235158731184</v>
      </c>
      <c r="BB221" s="32">
        <f t="shared" si="244"/>
        <v>0.8025608450951629</v>
      </c>
      <c r="BC221" s="60" t="str">
        <f t="shared" si="245"/>
        <v>-0.652368879409728+0.702879945321109i</v>
      </c>
      <c r="BD221" s="51">
        <f t="shared" si="246"/>
        <v>-0.36389055103291734</v>
      </c>
      <c r="BE221" s="63">
        <f t="shared" si="247"/>
        <v>132.86553442986124</v>
      </c>
      <c r="BF221" s="60" t="str">
        <f t="shared" si="248"/>
        <v>3.22238534981476+5.02752163832252i</v>
      </c>
      <c r="BG221" s="66">
        <f t="shared" si="249"/>
        <v>15.521781865575663</v>
      </c>
      <c r="BH221" s="63">
        <f t="shared" si="250"/>
        <v>57.342196605034744</v>
      </c>
      <c r="BI221" s="60" t="e">
        <f t="shared" si="203"/>
        <v>#NUM!</v>
      </c>
      <c r="BJ221" s="66" t="e">
        <f t="shared" si="251"/>
        <v>#NUM!</v>
      </c>
      <c r="BK221" s="63" t="e">
        <f t="shared" si="204"/>
        <v>#NUM!</v>
      </c>
      <c r="BL221" s="51">
        <f t="shared" si="252"/>
        <v>15.521781865575663</v>
      </c>
      <c r="BM221" s="63">
        <f t="shared" si="253"/>
        <v>57.342196605034744</v>
      </c>
    </row>
    <row r="222" spans="14:65" x14ac:dyDescent="0.3">
      <c r="N222" s="11">
        <v>4</v>
      </c>
      <c r="O222" s="52">
        <f t="shared" si="254"/>
        <v>1096.4781961431863</v>
      </c>
      <c r="P222" s="50" t="str">
        <f t="shared" si="206"/>
        <v>23.3035714285714</v>
      </c>
      <c r="Q222" s="18" t="str">
        <f t="shared" si="207"/>
        <v>1+3.69073697766944i</v>
      </c>
      <c r="R222" s="18">
        <f t="shared" si="218"/>
        <v>3.8238121604410109</v>
      </c>
      <c r="S222" s="18">
        <f t="shared" si="219"/>
        <v>1.3062005621102577</v>
      </c>
      <c r="T222" s="18" t="str">
        <f t="shared" si="208"/>
        <v>1+0.00688937569164964i</v>
      </c>
      <c r="U222" s="18">
        <f t="shared" si="220"/>
        <v>1.0000237314671192</v>
      </c>
      <c r="V222" s="18">
        <f t="shared" si="221"/>
        <v>6.8892666967984659E-3</v>
      </c>
      <c r="W222" s="32" t="str">
        <f t="shared" si="209"/>
        <v>1-0.0168406961351436i</v>
      </c>
      <c r="X222" s="18">
        <f t="shared" si="222"/>
        <v>1.0001417944703221</v>
      </c>
      <c r="Y222" s="18">
        <f t="shared" si="223"/>
        <v>-1.6839104348078553E-2</v>
      </c>
      <c r="Z222" s="32" t="str">
        <f t="shared" si="210"/>
        <v>0.999995190942262+0.00826535625166436i</v>
      </c>
      <c r="AA222" s="18">
        <f t="shared" si="224"/>
        <v>1.0000293485801395</v>
      </c>
      <c r="AB222" s="18">
        <f t="shared" si="225"/>
        <v>8.2652077864237474E-3</v>
      </c>
      <c r="AC222" s="68" t="str">
        <f t="shared" si="226"/>
        <v>1.48658245241592-5.91109476816627i</v>
      </c>
      <c r="AD222" s="66">
        <f t="shared" si="227"/>
        <v>15.699701428769098</v>
      </c>
      <c r="AE222" s="63">
        <f t="shared" si="228"/>
        <v>-75.883424633752966</v>
      </c>
      <c r="AF222" s="51" t="e">
        <f t="shared" si="229"/>
        <v>#NUM!</v>
      </c>
      <c r="AG222" s="51" t="str">
        <f t="shared" si="211"/>
        <v>1-5.16703176873724i</v>
      </c>
      <c r="AH222" s="51">
        <f t="shared" si="230"/>
        <v>5.2629095849292229</v>
      </c>
      <c r="AI222" s="51">
        <f t="shared" si="231"/>
        <v>-1.3796250495242026</v>
      </c>
      <c r="AJ222" s="51" t="str">
        <f t="shared" si="212"/>
        <v>1+0.00688937569164964i</v>
      </c>
      <c r="AK222" s="51">
        <f t="shared" si="232"/>
        <v>1.0000237314671192</v>
      </c>
      <c r="AL222" s="51">
        <f t="shared" si="233"/>
        <v>6.8892666967984659E-3</v>
      </c>
      <c r="AM222" s="51" t="e">
        <f t="shared" si="213"/>
        <v>#NUM!</v>
      </c>
      <c r="AN222" s="51" t="e">
        <f t="shared" si="234"/>
        <v>#NUM!</v>
      </c>
      <c r="AO222" s="51" t="e">
        <f t="shared" si="235"/>
        <v>#NUM!</v>
      </c>
      <c r="AP222" s="60" t="e">
        <f t="shared" si="236"/>
        <v>#NUM!</v>
      </c>
      <c r="AQ222" s="51" t="e">
        <f t="shared" si="237"/>
        <v>#NUM!</v>
      </c>
      <c r="AR222" s="63" t="e">
        <f t="shared" si="238"/>
        <v>#NUM!</v>
      </c>
      <c r="AS222" s="32" t="str">
        <f t="shared" si="214"/>
        <v>-0.000170731707317073</v>
      </c>
      <c r="AT222" s="32" t="str">
        <f t="shared" si="215"/>
        <v>0.000261796276282687i</v>
      </c>
      <c r="AU222" s="32">
        <f t="shared" si="239"/>
        <v>2.6179627628268701E-4</v>
      </c>
      <c r="AV222" s="32">
        <f t="shared" si="240"/>
        <v>1.5707963267948966</v>
      </c>
      <c r="AW222" s="32" t="str">
        <f t="shared" si="216"/>
        <v>1+0.0557386753326517i</v>
      </c>
      <c r="AX222" s="32">
        <f t="shared" si="241"/>
        <v>1.0015521953087811</v>
      </c>
      <c r="AY222" s="32">
        <f t="shared" si="242"/>
        <v>5.5681059723846148E-2</v>
      </c>
      <c r="AZ222" s="32" t="str">
        <f t="shared" si="217"/>
        <v>1+1.05903483132038i</v>
      </c>
      <c r="BA222" s="32">
        <f t="shared" si="243"/>
        <v>1.4565557915678291</v>
      </c>
      <c r="BB222" s="32">
        <f t="shared" si="244"/>
        <v>0.8140614294105708</v>
      </c>
      <c r="BC222" s="60" t="str">
        <f t="shared" si="245"/>
        <v>-0.652277941826662+0.688511943251651i</v>
      </c>
      <c r="BD222" s="51">
        <f t="shared" si="246"/>
        <v>-0.45991489016647763</v>
      </c>
      <c r="BE222" s="63">
        <f t="shared" si="247"/>
        <v>133.45199444862041</v>
      </c>
      <c r="BF222" s="60" t="str">
        <f t="shared" si="248"/>
        <v>3.10019440315734+4.87920650243853i</v>
      </c>
      <c r="BG222" s="66">
        <f t="shared" si="249"/>
        <v>15.239786538602617</v>
      </c>
      <c r="BH222" s="63">
        <f t="shared" si="250"/>
        <v>57.568569814867416</v>
      </c>
      <c r="BI222" s="60" t="e">
        <f t="shared" si="203"/>
        <v>#NUM!</v>
      </c>
      <c r="BJ222" s="66" t="e">
        <f t="shared" si="251"/>
        <v>#NUM!</v>
      </c>
      <c r="BK222" s="63" t="e">
        <f t="shared" si="204"/>
        <v>#NUM!</v>
      </c>
      <c r="BL222" s="51">
        <f t="shared" si="252"/>
        <v>15.239786538602617</v>
      </c>
      <c r="BM222" s="63">
        <f t="shared" si="253"/>
        <v>57.568569814867416</v>
      </c>
    </row>
    <row r="223" spans="14:65" x14ac:dyDescent="0.3">
      <c r="N223" s="11">
        <v>5</v>
      </c>
      <c r="O223" s="52">
        <f t="shared" si="254"/>
        <v>1122.0184543019636</v>
      </c>
      <c r="P223" s="50" t="str">
        <f t="shared" si="206"/>
        <v>23.3035714285714</v>
      </c>
      <c r="Q223" s="18" t="str">
        <f t="shared" si="207"/>
        <v>1+3.77670528560059i</v>
      </c>
      <c r="R223" s="18">
        <f t="shared" si="218"/>
        <v>3.9068533136378996</v>
      </c>
      <c r="S223" s="18">
        <f t="shared" si="219"/>
        <v>1.3119551883316933</v>
      </c>
      <c r="T223" s="18" t="str">
        <f t="shared" si="208"/>
        <v>1+0.00704984986645445i</v>
      </c>
      <c r="U223" s="18">
        <f t="shared" si="220"/>
        <v>1.0000248498828115</v>
      </c>
      <c r="V223" s="18">
        <f t="shared" si="221"/>
        <v>7.0497330765239867E-3</v>
      </c>
      <c r="W223" s="32" t="str">
        <f t="shared" si="209"/>
        <v>1-0.017232966340222i</v>
      </c>
      <c r="X223" s="18">
        <f t="shared" si="222"/>
        <v>1.0001484765417998</v>
      </c>
      <c r="Y223" s="18">
        <f t="shared" si="223"/>
        <v>-1.7231260723327188E-2</v>
      </c>
      <c r="Z223" s="32" t="str">
        <f t="shared" si="210"/>
        <v>0.999994964298353+0.00845788113103206i</v>
      </c>
      <c r="AA223" s="18">
        <f t="shared" si="224"/>
        <v>1.0000307317154262</v>
      </c>
      <c r="AB223" s="18">
        <f t="shared" si="225"/>
        <v>8.4577220479226944E-3</v>
      </c>
      <c r="AC223" s="68" t="str">
        <f t="shared" si="226"/>
        <v>1.41921899376774-5.79436974489327i</v>
      </c>
      <c r="AD223" s="66">
        <f t="shared" si="227"/>
        <v>15.51314604996781</v>
      </c>
      <c r="AE223" s="63">
        <f t="shared" si="228"/>
        <v>-76.237445542495422</v>
      </c>
      <c r="AF223" s="51" t="e">
        <f t="shared" si="229"/>
        <v>#NUM!</v>
      </c>
      <c r="AG223" s="51" t="str">
        <f t="shared" si="211"/>
        <v>1-5.28738739984085i</v>
      </c>
      <c r="AH223" s="51">
        <f t="shared" si="230"/>
        <v>5.3811212136501618</v>
      </c>
      <c r="AI223" s="51">
        <f t="shared" si="231"/>
        <v>-1.3838748548633828</v>
      </c>
      <c r="AJ223" s="51" t="str">
        <f t="shared" si="212"/>
        <v>1+0.00704984986645445i</v>
      </c>
      <c r="AK223" s="51">
        <f t="shared" si="232"/>
        <v>1.0000248498828115</v>
      </c>
      <c r="AL223" s="51">
        <f t="shared" si="233"/>
        <v>7.0497330765239867E-3</v>
      </c>
      <c r="AM223" s="51" t="e">
        <f t="shared" si="213"/>
        <v>#NUM!</v>
      </c>
      <c r="AN223" s="51" t="e">
        <f t="shared" si="234"/>
        <v>#NUM!</v>
      </c>
      <c r="AO223" s="51" t="e">
        <f t="shared" si="235"/>
        <v>#NUM!</v>
      </c>
      <c r="AP223" s="60" t="e">
        <f t="shared" si="236"/>
        <v>#NUM!</v>
      </c>
      <c r="AQ223" s="51" t="e">
        <f t="shared" si="237"/>
        <v>#NUM!</v>
      </c>
      <c r="AR223" s="63" t="e">
        <f t="shared" si="238"/>
        <v>#NUM!</v>
      </c>
      <c r="AS223" s="32" t="str">
        <f t="shared" si="214"/>
        <v>-0.000170731707317073</v>
      </c>
      <c r="AT223" s="32" t="str">
        <f t="shared" si="215"/>
        <v>0.000267894294925269i</v>
      </c>
      <c r="AU223" s="32">
        <f t="shared" si="239"/>
        <v>2.6789429492526901E-4</v>
      </c>
      <c r="AV223" s="32">
        <f t="shared" si="240"/>
        <v>1.5707963267948966</v>
      </c>
      <c r="AW223" s="32" t="str">
        <f t="shared" si="216"/>
        <v>1+0.0570369958669146i</v>
      </c>
      <c r="AX223" s="32">
        <f t="shared" si="241"/>
        <v>1.0016252886671355</v>
      </c>
      <c r="AY223" s="32">
        <f t="shared" si="242"/>
        <v>5.697526503892323E-2</v>
      </c>
      <c r="AZ223" s="32" t="str">
        <f t="shared" si="217"/>
        <v>1+1.08370292147138i</v>
      </c>
      <c r="BA223" s="32">
        <f t="shared" si="243"/>
        <v>1.4745887636916282</v>
      </c>
      <c r="BB223" s="32">
        <f t="shared" si="244"/>
        <v>0.82554685336330924</v>
      </c>
      <c r="BC223" s="60" t="str">
        <f t="shared" si="245"/>
        <v>-0.652182745656457+0.674508522986273i</v>
      </c>
      <c r="BD223" s="51">
        <f t="shared" si="246"/>
        <v>-0.55367284639623904</v>
      </c>
      <c r="BE223" s="63">
        <f t="shared" si="247"/>
        <v>134.03590826465347</v>
      </c>
      <c r="BF223" s="60" t="str">
        <f t="shared" si="248"/>
        <v>2.98276163822107+4.73626327685354i</v>
      </c>
      <c r="BG223" s="66">
        <f t="shared" si="249"/>
        <v>14.959473203571573</v>
      </c>
      <c r="BH223" s="63">
        <f t="shared" si="250"/>
        <v>57.79846272215805</v>
      </c>
      <c r="BI223" s="60" t="e">
        <f t="shared" si="203"/>
        <v>#NUM!</v>
      </c>
      <c r="BJ223" s="66" t="e">
        <f t="shared" si="251"/>
        <v>#NUM!</v>
      </c>
      <c r="BK223" s="63" t="e">
        <f t="shared" si="204"/>
        <v>#NUM!</v>
      </c>
      <c r="BL223" s="51">
        <f t="shared" si="252"/>
        <v>14.959473203571573</v>
      </c>
      <c r="BM223" s="63">
        <f t="shared" si="253"/>
        <v>57.79846272215805</v>
      </c>
    </row>
    <row r="224" spans="14:65" x14ac:dyDescent="0.3">
      <c r="N224" s="11">
        <v>6</v>
      </c>
      <c r="O224" s="52">
        <f t="shared" si="254"/>
        <v>1148.1536214968839</v>
      </c>
      <c r="P224" s="50" t="str">
        <f t="shared" si="206"/>
        <v>23.3035714285714</v>
      </c>
      <c r="Q224" s="18" t="str">
        <f t="shared" si="207"/>
        <v>1+3.86467605266477i</v>
      </c>
      <c r="R224" s="18">
        <f t="shared" si="218"/>
        <v>3.9919570378500504</v>
      </c>
      <c r="S224" s="18">
        <f t="shared" si="219"/>
        <v>1.3175958196912723</v>
      </c>
      <c r="T224" s="18" t="str">
        <f t="shared" si="208"/>
        <v>1+0.00721406196497425i</v>
      </c>
      <c r="U224" s="18">
        <f t="shared" si="220"/>
        <v>1.0000260210064709</v>
      </c>
      <c r="V224" s="18">
        <f t="shared" si="221"/>
        <v>7.2139368224849662E-3</v>
      </c>
      <c r="W224" s="32" t="str">
        <f t="shared" si="209"/>
        <v>1-0.0176343736921593i</v>
      </c>
      <c r="X224" s="18">
        <f t="shared" si="222"/>
        <v>1.0001554734817555</v>
      </c>
      <c r="Y224" s="18">
        <f t="shared" si="223"/>
        <v>-1.7632546106072716E-2</v>
      </c>
      <c r="Z224" s="32" t="str">
        <f t="shared" si="210"/>
        <v>0.999994726973046+0.00865489049092873i</v>
      </c>
      <c r="AA224" s="18">
        <f t="shared" si="224"/>
        <v>1.0000321800338763</v>
      </c>
      <c r="AB224" s="18">
        <f t="shared" si="225"/>
        <v>8.6547200305999925E-3</v>
      </c>
      <c r="AC224" s="68" t="str">
        <f t="shared" si="226"/>
        <v>1.35449791724546-5.67921176963752i</v>
      </c>
      <c r="AD224" s="66">
        <f t="shared" si="227"/>
        <v>15.326029345099567</v>
      </c>
      <c r="AE224" s="63">
        <f t="shared" si="228"/>
        <v>-76.585500843356215</v>
      </c>
      <c r="AF224" s="51" t="e">
        <f t="shared" si="229"/>
        <v>#NUM!</v>
      </c>
      <c r="AG224" s="51" t="str">
        <f t="shared" si="211"/>
        <v>1-5.4105464737307i</v>
      </c>
      <c r="AH224" s="51">
        <f t="shared" si="230"/>
        <v>5.5021825800676334</v>
      </c>
      <c r="AI224" s="51">
        <f t="shared" si="231"/>
        <v>-1.3880345345984113</v>
      </c>
      <c r="AJ224" s="51" t="str">
        <f t="shared" si="212"/>
        <v>1+0.00721406196497425i</v>
      </c>
      <c r="AK224" s="51">
        <f t="shared" si="232"/>
        <v>1.0000260210064709</v>
      </c>
      <c r="AL224" s="51">
        <f t="shared" si="233"/>
        <v>7.2139368224849662E-3</v>
      </c>
      <c r="AM224" s="51" t="e">
        <f t="shared" si="213"/>
        <v>#NUM!</v>
      </c>
      <c r="AN224" s="51" t="e">
        <f t="shared" si="234"/>
        <v>#NUM!</v>
      </c>
      <c r="AO224" s="51" t="e">
        <f t="shared" si="235"/>
        <v>#NUM!</v>
      </c>
      <c r="AP224" s="60" t="e">
        <f t="shared" si="236"/>
        <v>#NUM!</v>
      </c>
      <c r="AQ224" s="51" t="e">
        <f t="shared" si="237"/>
        <v>#NUM!</v>
      </c>
      <c r="AR224" s="63" t="e">
        <f t="shared" si="238"/>
        <v>#NUM!</v>
      </c>
      <c r="AS224" s="32" t="str">
        <f t="shared" si="214"/>
        <v>-0.000170731707317073</v>
      </c>
      <c r="AT224" s="32" t="str">
        <f t="shared" si="215"/>
        <v>0.000274134354669022i</v>
      </c>
      <c r="AU224" s="32">
        <f t="shared" si="239"/>
        <v>2.74134354669022E-4</v>
      </c>
      <c r="AV224" s="32">
        <f t="shared" si="240"/>
        <v>1.5707963267948966</v>
      </c>
      <c r="AW224" s="32" t="str">
        <f t="shared" si="216"/>
        <v>1+0.05836555817136i</v>
      </c>
      <c r="AX224" s="32">
        <f t="shared" si="241"/>
        <v>1.0017018210928113</v>
      </c>
      <c r="AY224" s="32">
        <f t="shared" si="242"/>
        <v>5.8299418465283588E-2</v>
      </c>
      <c r="AZ224" s="32" t="str">
        <f t="shared" si="217"/>
        <v>1+1.10894560525584i</v>
      </c>
      <c r="BA224" s="32">
        <f t="shared" si="243"/>
        <v>1.4932382112095315</v>
      </c>
      <c r="BB224" s="32">
        <f t="shared" si="244"/>
        <v>0.83701108691544535</v>
      </c>
      <c r="BC224" s="60" t="str">
        <f t="shared" si="245"/>
        <v>-0.652083092806241+0.660862225882154i</v>
      </c>
      <c r="BD224" s="51">
        <f t="shared" si="246"/>
        <v>-0.64517300459508309</v>
      </c>
      <c r="BE224" s="63">
        <f t="shared" si="247"/>
        <v>134.61689205978487</v>
      </c>
      <c r="BF224" s="60" t="str">
        <f t="shared" si="248"/>
        <v>2.86993134026175+4.59845448399042i</v>
      </c>
      <c r="BG224" s="66">
        <f t="shared" si="249"/>
        <v>14.680856340504494</v>
      </c>
      <c r="BH224" s="63">
        <f t="shared" si="250"/>
        <v>58.031391216428673</v>
      </c>
      <c r="BI224" s="60" t="e">
        <f t="shared" si="203"/>
        <v>#NUM!</v>
      </c>
      <c r="BJ224" s="66" t="e">
        <f t="shared" si="251"/>
        <v>#NUM!</v>
      </c>
      <c r="BK224" s="63" t="e">
        <f t="shared" si="204"/>
        <v>#NUM!</v>
      </c>
      <c r="BL224" s="51">
        <f t="shared" si="252"/>
        <v>14.680856340504494</v>
      </c>
      <c r="BM224" s="63">
        <f t="shared" si="253"/>
        <v>58.031391216428673</v>
      </c>
    </row>
    <row r="225" spans="14:65" x14ac:dyDescent="0.3">
      <c r="N225" s="11">
        <v>7</v>
      </c>
      <c r="O225" s="52">
        <f t="shared" si="254"/>
        <v>1174.8975549395295</v>
      </c>
      <c r="P225" s="50" t="str">
        <f t="shared" si="206"/>
        <v>23.3035714285714</v>
      </c>
      <c r="Q225" s="18" t="str">
        <f t="shared" si="207"/>
        <v>1+3.9546959221271i</v>
      </c>
      <c r="R225" s="18">
        <f t="shared" si="218"/>
        <v>4.0791690129839822</v>
      </c>
      <c r="S225" s="18">
        <f t="shared" si="219"/>
        <v>1.3231240105989428</v>
      </c>
      <c r="T225" s="18" t="str">
        <f t="shared" si="208"/>
        <v>1+0.00738209905463727i</v>
      </c>
      <c r="U225" s="18">
        <f t="shared" si="220"/>
        <v>1.000027247322018</v>
      </c>
      <c r="V225" s="18">
        <f t="shared" si="221"/>
        <v>7.3819649622414215E-3</v>
      </c>
      <c r="W225" s="32" t="str">
        <f t="shared" si="209"/>
        <v>1-0.0180451310224467i</v>
      </c>
      <c r="X225" s="18">
        <f t="shared" si="222"/>
        <v>1.0001628001248684</v>
      </c>
      <c r="Y225" s="18">
        <f t="shared" si="223"/>
        <v>-1.8043172745888326E-2</v>
      </c>
      <c r="Z225" s="32" t="str">
        <f t="shared" si="210"/>
        <v>0.999994478462942+0.0088564887883247i</v>
      </c>
      <c r="AA225" s="18">
        <f t="shared" si="224"/>
        <v>1.0000336966072838</v>
      </c>
      <c r="AB225" s="18">
        <f t="shared" si="225"/>
        <v>8.8563061371216469E-3</v>
      </c>
      <c r="AC225" s="68" t="str">
        <f t="shared" si="226"/>
        <v>1.2923314033982-5.56564774266661i</v>
      </c>
      <c r="AD225" s="66">
        <f t="shared" si="227"/>
        <v>15.138373628202388</v>
      </c>
      <c r="AE225" s="63">
        <f t="shared" si="228"/>
        <v>-76.927692753990129</v>
      </c>
      <c r="AF225" s="51" t="e">
        <f t="shared" si="229"/>
        <v>#NUM!</v>
      </c>
      <c r="AG225" s="51" t="str">
        <f t="shared" si="211"/>
        <v>1-5.53657429097797i</v>
      </c>
      <c r="AH225" s="51">
        <f t="shared" si="230"/>
        <v>5.6261580922969276</v>
      </c>
      <c r="AI225" s="51">
        <f t="shared" si="231"/>
        <v>-1.3921057181682421</v>
      </c>
      <c r="AJ225" s="51" t="str">
        <f t="shared" si="212"/>
        <v>1+0.00738209905463727i</v>
      </c>
      <c r="AK225" s="51">
        <f t="shared" si="232"/>
        <v>1.000027247322018</v>
      </c>
      <c r="AL225" s="51">
        <f t="shared" si="233"/>
        <v>7.3819649622414215E-3</v>
      </c>
      <c r="AM225" s="51" t="e">
        <f t="shared" si="213"/>
        <v>#NUM!</v>
      </c>
      <c r="AN225" s="51" t="e">
        <f t="shared" si="234"/>
        <v>#NUM!</v>
      </c>
      <c r="AO225" s="51" t="e">
        <f t="shared" si="235"/>
        <v>#NUM!</v>
      </c>
      <c r="AP225" s="60" t="e">
        <f t="shared" si="236"/>
        <v>#NUM!</v>
      </c>
      <c r="AQ225" s="51" t="e">
        <f t="shared" si="237"/>
        <v>#NUM!</v>
      </c>
      <c r="AR225" s="63" t="e">
        <f t="shared" si="238"/>
        <v>#NUM!</v>
      </c>
      <c r="AS225" s="32" t="str">
        <f t="shared" si="214"/>
        <v>-0.000170731707317073</v>
      </c>
      <c r="AT225" s="32" t="str">
        <f t="shared" si="215"/>
        <v>0.000280519764076216i</v>
      </c>
      <c r="AU225" s="32">
        <f t="shared" si="239"/>
        <v>2.80519764076216E-4</v>
      </c>
      <c r="AV225" s="32">
        <f t="shared" si="240"/>
        <v>1.5707963267948966</v>
      </c>
      <c r="AW225" s="32" t="str">
        <f t="shared" si="216"/>
        <v>1+0.0597250666673073i</v>
      </c>
      <c r="AX225" s="32">
        <f t="shared" si="241"/>
        <v>1.001781954113975</v>
      </c>
      <c r="AY225" s="32">
        <f t="shared" si="242"/>
        <v>5.9654203502115886E-2</v>
      </c>
      <c r="AZ225" s="32" t="str">
        <f t="shared" si="217"/>
        <v>1+1.13477626667884i</v>
      </c>
      <c r="BA225" s="32">
        <f t="shared" si="243"/>
        <v>1.5125201404998103</v>
      </c>
      <c r="BB225" s="32">
        <f t="shared" si="244"/>
        <v>0.84844815572287524</v>
      </c>
      <c r="BC225" s="60" t="str">
        <f t="shared" si="245"/>
        <v>-0.651978776097053+0.647565780254539i</v>
      </c>
      <c r="BD225" s="51">
        <f t="shared" si="246"/>
        <v>-0.73442638901508983</v>
      </c>
      <c r="BE225" s="63">
        <f t="shared" si="247"/>
        <v>135.19456436769346</v>
      </c>
      <c r="BF225" s="60" t="str">
        <f t="shared" si="248"/>
        <v>2.76155037640247+4.4655537970401i</v>
      </c>
      <c r="BG225" s="66">
        <f t="shared" si="249"/>
        <v>14.403947239187293</v>
      </c>
      <c r="BH225" s="63">
        <f t="shared" si="250"/>
        <v>58.266871613703366</v>
      </c>
      <c r="BI225" s="60" t="e">
        <f t="shared" si="203"/>
        <v>#NUM!</v>
      </c>
      <c r="BJ225" s="66" t="e">
        <f t="shared" si="251"/>
        <v>#NUM!</v>
      </c>
      <c r="BK225" s="63" t="e">
        <f t="shared" si="204"/>
        <v>#NUM!</v>
      </c>
      <c r="BL225" s="51">
        <f t="shared" si="252"/>
        <v>14.403947239187293</v>
      </c>
      <c r="BM225" s="63">
        <f t="shared" si="253"/>
        <v>58.266871613703366</v>
      </c>
    </row>
    <row r="226" spans="14:65" x14ac:dyDescent="0.3">
      <c r="N226" s="11">
        <v>8</v>
      </c>
      <c r="O226" s="52">
        <f t="shared" si="254"/>
        <v>1202.2644346174138</v>
      </c>
      <c r="P226" s="50" t="str">
        <f t="shared" si="206"/>
        <v>23.3035714285714</v>
      </c>
      <c r="Q226" s="18" t="str">
        <f t="shared" si="207"/>
        <v>1+4.04681262371394i</v>
      </c>
      <c r="R226" s="18">
        <f t="shared" si="218"/>
        <v>4.1685360033770253</v>
      </c>
      <c r="S226" s="18">
        <f t="shared" si="219"/>
        <v>1.3285413400332218</v>
      </c>
      <c r="T226" s="18" t="str">
        <f t="shared" si="208"/>
        <v>1+0.00755405023093271i</v>
      </c>
      <c r="U226" s="18">
        <f t="shared" si="220"/>
        <v>1.0000285314304245</v>
      </c>
      <c r="V226" s="18">
        <f t="shared" si="221"/>
        <v>7.5539065485632738E-3</v>
      </c>
      <c r="W226" s="32" t="str">
        <f t="shared" si="209"/>
        <v>1-0.0184654561200577i</v>
      </c>
      <c r="X226" s="18">
        <f t="shared" si="222"/>
        <v>1.0001704720045086</v>
      </c>
      <c r="Y226" s="18">
        <f t="shared" si="223"/>
        <v>-1.8463357808235981E-2</v>
      </c>
      <c r="Z226" s="32" t="str">
        <f t="shared" si="210"/>
        <v>0.999994218240917+0.00906278291330574i</v>
      </c>
      <c r="AA226" s="18">
        <f t="shared" si="224"/>
        <v>1.0000352846521949</v>
      </c>
      <c r="AB226" s="18">
        <f t="shared" si="225"/>
        <v>9.0625871993857757E-3</v>
      </c>
      <c r="AC226" s="68" t="str">
        <f t="shared" si="226"/>
        <v>1.23263322425477-5.45370076893216i</v>
      </c>
      <c r="AD226" s="66">
        <f t="shared" si="227"/>
        <v>14.950200475862916</v>
      </c>
      <c r="AE226" s="63">
        <f t="shared" si="228"/>
        <v>-77.264125204535375</v>
      </c>
      <c r="AF226" s="51" t="e">
        <f t="shared" si="229"/>
        <v>#NUM!</v>
      </c>
      <c r="AG226" s="51" t="str">
        <f t="shared" si="211"/>
        <v>1-5.66553767319955i</v>
      </c>
      <c r="AH226" s="51">
        <f t="shared" si="230"/>
        <v>5.7531136896852102</v>
      </c>
      <c r="AI226" s="51">
        <f t="shared" si="231"/>
        <v>-1.3960900240791196</v>
      </c>
      <c r="AJ226" s="51" t="str">
        <f t="shared" si="212"/>
        <v>1+0.00755405023093271i</v>
      </c>
      <c r="AK226" s="51">
        <f t="shared" si="232"/>
        <v>1.0000285314304245</v>
      </c>
      <c r="AL226" s="51">
        <f t="shared" si="233"/>
        <v>7.5539065485632738E-3</v>
      </c>
      <c r="AM226" s="51" t="e">
        <f t="shared" si="213"/>
        <v>#NUM!</v>
      </c>
      <c r="AN226" s="51" t="e">
        <f t="shared" si="234"/>
        <v>#NUM!</v>
      </c>
      <c r="AO226" s="51" t="e">
        <f t="shared" si="235"/>
        <v>#NUM!</v>
      </c>
      <c r="AP226" s="60" t="e">
        <f t="shared" si="236"/>
        <v>#NUM!</v>
      </c>
      <c r="AQ226" s="51" t="e">
        <f t="shared" si="237"/>
        <v>#NUM!</v>
      </c>
      <c r="AR226" s="63" t="e">
        <f t="shared" si="238"/>
        <v>#NUM!</v>
      </c>
      <c r="AS226" s="32" t="str">
        <f t="shared" si="214"/>
        <v>-0.000170731707317073</v>
      </c>
      <c r="AT226" s="32" t="str">
        <f t="shared" si="215"/>
        <v>0.000287053908775443i</v>
      </c>
      <c r="AU226" s="32">
        <f t="shared" si="239"/>
        <v>2.8705390877544298E-4</v>
      </c>
      <c r="AV226" s="32">
        <f t="shared" si="240"/>
        <v>1.5707963267948966</v>
      </c>
      <c r="AW226" s="32" t="str">
        <f t="shared" si="216"/>
        <v>1+0.0611162421841566i</v>
      </c>
      <c r="AX226" s="32">
        <f t="shared" si="241"/>
        <v>1.0018658568185226</v>
      </c>
      <c r="AY226" s="32">
        <f t="shared" si="242"/>
        <v>6.1040318570093566E-2</v>
      </c>
      <c r="AZ226" s="32" t="str">
        <f t="shared" si="217"/>
        <v>1+1.16120860149898i</v>
      </c>
      <c r="BA226" s="32">
        <f t="shared" si="243"/>
        <v>1.5324507875280098</v>
      </c>
      <c r="BB226" s="32">
        <f t="shared" si="244"/>
        <v>0.85985215647665014</v>
      </c>
      <c r="BC226" s="60" t="str">
        <f t="shared" si="245"/>
        <v>-0.651869578859384+0.634612097353296i</v>
      </c>
      <c r="BD226" s="51">
        <f t="shared" si="246"/>
        <v>-0.82144642584628036</v>
      </c>
      <c r="BE226" s="63">
        <f t="shared" si="247"/>
        <v>135.76854693713409</v>
      </c>
      <c r="BF226" s="60" t="str">
        <f t="shared" si="248"/>
        <v>2.65746838252628+4.33734557918058i</v>
      </c>
      <c r="BG226" s="66">
        <f t="shared" si="249"/>
        <v>14.128754050016632</v>
      </c>
      <c r="BH226" s="63">
        <f t="shared" si="250"/>
        <v>58.504421732598686</v>
      </c>
      <c r="BI226" s="60" t="e">
        <f t="shared" si="203"/>
        <v>#NUM!</v>
      </c>
      <c r="BJ226" s="66" t="e">
        <f t="shared" si="251"/>
        <v>#NUM!</v>
      </c>
      <c r="BK226" s="63" t="e">
        <f t="shared" si="204"/>
        <v>#NUM!</v>
      </c>
      <c r="BL226" s="51">
        <f t="shared" si="252"/>
        <v>14.128754050016632</v>
      </c>
      <c r="BM226" s="63">
        <f t="shared" si="253"/>
        <v>58.504421732598686</v>
      </c>
    </row>
    <row r="227" spans="14:65" x14ac:dyDescent="0.3">
      <c r="N227" s="11">
        <v>9</v>
      </c>
      <c r="O227" s="52">
        <f t="shared" si="254"/>
        <v>1230.2687708123824</v>
      </c>
      <c r="P227" s="50" t="str">
        <f t="shared" si="206"/>
        <v>23.3035714285714</v>
      </c>
      <c r="Q227" s="18" t="str">
        <f t="shared" si="207"/>
        <v>1+4.14107499891977i</v>
      </c>
      <c r="R227" s="18">
        <f t="shared" si="218"/>
        <v>4.2601058844444673</v>
      </c>
      <c r="S227" s="18">
        <f t="shared" si="219"/>
        <v>1.3338494079111674</v>
      </c>
      <c r="T227" s="18" t="str">
        <f t="shared" si="208"/>
        <v>1+0.00773000666465025i</v>
      </c>
      <c r="U227" s="18">
        <f t="shared" si="220"/>
        <v>1.0000298760552284</v>
      </c>
      <c r="V227" s="18">
        <f t="shared" si="221"/>
        <v>7.7298527064659913E-3</v>
      </c>
      <c r="W227" s="32" t="str">
        <f t="shared" si="209"/>
        <v>1-0.0188955718469228i</v>
      </c>
      <c r="X227" s="18">
        <f t="shared" si="222"/>
        <v>1.0001785053856247</v>
      </c>
      <c r="Y227" s="18">
        <f t="shared" si="223"/>
        <v>-1.8893323486969354E-2</v>
      </c>
      <c r="Z227" s="32" t="str">
        <f t="shared" si="210"/>
        <v>0.999993945755006+0.00927388224574752i</v>
      </c>
      <c r="AA227" s="18">
        <f t="shared" si="224"/>
        <v>1.0000369475367268</v>
      </c>
      <c r="AB227" s="18">
        <f t="shared" si="225"/>
        <v>9.2736725349193763E-3</v>
      </c>
      <c r="AC227" s="68" t="str">
        <f t="shared" si="226"/>
        <v>1.17531883593463-5.34339036398439i</v>
      </c>
      <c r="AD227" s="66">
        <f t="shared" si="227"/>
        <v>14.761530741486945</v>
      </c>
      <c r="AE227" s="63">
        <f t="shared" si="228"/>
        <v>-77.59490363661142</v>
      </c>
      <c r="AF227" s="51" t="e">
        <f t="shared" si="229"/>
        <v>#NUM!</v>
      </c>
      <c r="AG227" s="51" t="str">
        <f t="shared" si="211"/>
        <v>1-5.7975049984877i</v>
      </c>
      <c r="AH227" s="51">
        <f t="shared" si="230"/>
        <v>5.8831168786188384</v>
      </c>
      <c r="AI227" s="51">
        <f t="shared" si="231"/>
        <v>-1.3999890586151917</v>
      </c>
      <c r="AJ227" s="51" t="str">
        <f t="shared" si="212"/>
        <v>1+0.00773000666465025i</v>
      </c>
      <c r="AK227" s="51">
        <f t="shared" si="232"/>
        <v>1.0000298760552284</v>
      </c>
      <c r="AL227" s="51">
        <f t="shared" si="233"/>
        <v>7.7298527064659913E-3</v>
      </c>
      <c r="AM227" s="51" t="e">
        <f t="shared" si="213"/>
        <v>#NUM!</v>
      </c>
      <c r="AN227" s="51" t="e">
        <f t="shared" si="234"/>
        <v>#NUM!</v>
      </c>
      <c r="AO227" s="51" t="e">
        <f t="shared" si="235"/>
        <v>#NUM!</v>
      </c>
      <c r="AP227" s="60" t="e">
        <f t="shared" si="236"/>
        <v>#NUM!</v>
      </c>
      <c r="AQ227" s="51" t="e">
        <f t="shared" si="237"/>
        <v>#NUM!</v>
      </c>
      <c r="AR227" s="63" t="e">
        <f t="shared" si="238"/>
        <v>#NUM!</v>
      </c>
      <c r="AS227" s="32" t="str">
        <f t="shared" si="214"/>
        <v>-0.000170731707317073</v>
      </c>
      <c r="AT227" s="32" t="str">
        <f t="shared" si="215"/>
        <v>0.00029374025325671i</v>
      </c>
      <c r="AU227" s="32">
        <f t="shared" si="239"/>
        <v>2.9374025325671E-4</v>
      </c>
      <c r="AV227" s="32">
        <f t="shared" si="240"/>
        <v>1.5707963267948966</v>
      </c>
      <c r="AW227" s="32" t="str">
        <f t="shared" si="216"/>
        <v>1+0.0625398223415808i</v>
      </c>
      <c r="AX227" s="32">
        <f t="shared" si="241"/>
        <v>1.0019537062052899</v>
      </c>
      <c r="AY227" s="32">
        <f t="shared" si="242"/>
        <v>6.2458477288428266E-2</v>
      </c>
      <c r="AZ227" s="32" t="str">
        <f t="shared" si="217"/>
        <v>1+1.18825662449004i</v>
      </c>
      <c r="BA227" s="32">
        <f t="shared" si="243"/>
        <v>1.5530466205637437</v>
      </c>
      <c r="BB227" s="32">
        <f t="shared" si="244"/>
        <v>0.8712172717942297</v>
      </c>
      <c r="BC227" s="60" t="str">
        <f t="shared" si="245"/>
        <v>-0.65175527451199+0.621994267424874i</v>
      </c>
      <c r="BD227" s="51">
        <f t="shared" si="246"/>
        <v>-0.90624889648180329</v>
      </c>
      <c r="BE227" s="63">
        <f t="shared" si="247"/>
        <v>136.33846556927068</v>
      </c>
      <c r="BF227" s="60" t="str">
        <f t="shared" si="248"/>
        <v>2.55753792445791+4.21362443185118i</v>
      </c>
      <c r="BG227" s="66">
        <f t="shared" si="249"/>
        <v>13.855281845005132</v>
      </c>
      <c r="BH227" s="63">
        <f t="shared" si="250"/>
        <v>58.743561932659269</v>
      </c>
      <c r="BI227" s="60" t="e">
        <f t="shared" si="203"/>
        <v>#NUM!</v>
      </c>
      <c r="BJ227" s="66" t="e">
        <f t="shared" si="251"/>
        <v>#NUM!</v>
      </c>
      <c r="BK227" s="63" t="e">
        <f t="shared" si="204"/>
        <v>#NUM!</v>
      </c>
      <c r="BL227" s="51">
        <f t="shared" si="252"/>
        <v>13.855281845005132</v>
      </c>
      <c r="BM227" s="63">
        <f t="shared" si="253"/>
        <v>58.743561932659269</v>
      </c>
    </row>
    <row r="228" spans="14:65" x14ac:dyDescent="0.3">
      <c r="N228" s="11">
        <v>10</v>
      </c>
      <c r="O228" s="52">
        <f t="shared" si="254"/>
        <v>1258.925411794168</v>
      </c>
      <c r="P228" s="50" t="str">
        <f t="shared" si="206"/>
        <v>23.3035714285714</v>
      </c>
      <c r="Q228" s="18" t="str">
        <f t="shared" si="207"/>
        <v>1+4.23753302690363i</v>
      </c>
      <c r="R228" s="18">
        <f t="shared" si="218"/>
        <v>4.3539276698285931</v>
      </c>
      <c r="S228" s="18">
        <f t="shared" si="219"/>
        <v>1.3390498316586217</v>
      </c>
      <c r="T228" s="18" t="str">
        <f t="shared" si="208"/>
        <v>1+0.00791006165022013i</v>
      </c>
      <c r="U228" s="18">
        <f t="shared" si="220"/>
        <v>1.0000312840483092</v>
      </c>
      <c r="V228" s="18">
        <f t="shared" si="221"/>
        <v>7.9098966813322229E-3</v>
      </c>
      <c r="W228" s="32" t="str">
        <f t="shared" si="209"/>
        <v>1-0.0193357062560937i</v>
      </c>
      <c r="X228" s="18">
        <f t="shared" si="222"/>
        <v>1.0001869172991726</v>
      </c>
      <c r="Y228" s="18">
        <f t="shared" si="223"/>
        <v>-1.9333297119314204E-2</v>
      </c>
      <c r="Z228" s="32" t="str">
        <f t="shared" si="210"/>
        <v>0.99999366042723+0.00948989871331034i</v>
      </c>
      <c r="AA228" s="18">
        <f t="shared" si="224"/>
        <v>1.0000386887877084</v>
      </c>
      <c r="AB228" s="18">
        <f t="shared" si="225"/>
        <v>9.48967400457555E-3</v>
      </c>
      <c r="AC228" s="68" t="str">
        <f t="shared" si="226"/>
        <v>1.12030545748346-5.23473265531218i</v>
      </c>
      <c r="AD228" s="66">
        <f t="shared" si="227"/>
        <v>14.57238457031451</v>
      </c>
      <c r="AE228" s="63">
        <f t="shared" si="228"/>
        <v>-77.920134813943847</v>
      </c>
      <c r="AF228" s="51" t="e">
        <f t="shared" si="229"/>
        <v>#NUM!</v>
      </c>
      <c r="AG228" s="51" t="str">
        <f t="shared" si="211"/>
        <v>1-5.93254623766511i</v>
      </c>
      <c r="AH228" s="51">
        <f t="shared" si="230"/>
        <v>6.0162367691135996</v>
      </c>
      <c r="AI228" s="51">
        <f t="shared" si="231"/>
        <v>-1.4038044146601729</v>
      </c>
      <c r="AJ228" s="51" t="str">
        <f t="shared" si="212"/>
        <v>1+0.00791006165022013i</v>
      </c>
      <c r="AK228" s="51">
        <f t="shared" si="232"/>
        <v>1.0000312840483092</v>
      </c>
      <c r="AL228" s="51">
        <f t="shared" si="233"/>
        <v>7.9098966813322229E-3</v>
      </c>
      <c r="AM228" s="51" t="e">
        <f t="shared" si="213"/>
        <v>#NUM!</v>
      </c>
      <c r="AN228" s="51" t="e">
        <f t="shared" si="234"/>
        <v>#NUM!</v>
      </c>
      <c r="AO228" s="51" t="e">
        <f t="shared" si="235"/>
        <v>#NUM!</v>
      </c>
      <c r="AP228" s="60" t="e">
        <f t="shared" si="236"/>
        <v>#NUM!</v>
      </c>
      <c r="AQ228" s="51" t="e">
        <f t="shared" si="237"/>
        <v>#NUM!</v>
      </c>
      <c r="AR228" s="63" t="e">
        <f t="shared" si="238"/>
        <v>#NUM!</v>
      </c>
      <c r="AS228" s="32" t="str">
        <f t="shared" si="214"/>
        <v>-0.000170731707317073</v>
      </c>
      <c r="AT228" s="32" t="str">
        <f t="shared" si="215"/>
        <v>0.000300582342708365i</v>
      </c>
      <c r="AU228" s="32">
        <f t="shared" si="239"/>
        <v>3.0058234270836503E-4</v>
      </c>
      <c r="AV228" s="32">
        <f t="shared" si="240"/>
        <v>1.5707963267948966</v>
      </c>
      <c r="AW228" s="32" t="str">
        <f t="shared" si="216"/>
        <v>1+0.063996561940623i</v>
      </c>
      <c r="AX228" s="32">
        <f t="shared" si="241"/>
        <v>1.0020456875513311</v>
      </c>
      <c r="AY228" s="32">
        <f t="shared" si="242"/>
        <v>6.3909408753452149E-2</v>
      </c>
      <c r="AZ228" s="32" t="str">
        <f t="shared" si="217"/>
        <v>1+1.21593467687184i</v>
      </c>
      <c r="BA228" s="32">
        <f t="shared" si="243"/>
        <v>1.5743243434627521</v>
      </c>
      <c r="BB228" s="32">
        <f t="shared" si="244"/>
        <v>0.88253778457136933</v>
      </c>
      <c r="BC228" s="60" t="str">
        <f t="shared" si="245"/>
        <v>-0.651635626123294+0.60970555585677i</v>
      </c>
      <c r="BD228" s="51">
        <f t="shared" si="246"/>
        <v>-0.98885188193052387</v>
      </c>
      <c r="BE228" s="63">
        <f t="shared" si="247"/>
        <v>136.9039509240161</v>
      </c>
      <c r="BF228" s="60" t="str">
        <f t="shared" si="248"/>
        <v>2.46161463513212+4.09419475311673i</v>
      </c>
      <c r="BG228" s="66">
        <f t="shared" si="249"/>
        <v>13.583532688383981</v>
      </c>
      <c r="BH228" s="63">
        <f t="shared" si="250"/>
        <v>58.98381611007224</v>
      </c>
      <c r="BI228" s="60" t="e">
        <f t="shared" si="203"/>
        <v>#NUM!</v>
      </c>
      <c r="BJ228" s="66" t="e">
        <f t="shared" si="251"/>
        <v>#NUM!</v>
      </c>
      <c r="BK228" s="63" t="e">
        <f t="shared" si="204"/>
        <v>#NUM!</v>
      </c>
      <c r="BL228" s="51">
        <f t="shared" si="252"/>
        <v>13.583532688383981</v>
      </c>
      <c r="BM228" s="63">
        <f t="shared" si="253"/>
        <v>58.98381611007224</v>
      </c>
    </row>
    <row r="229" spans="14:65" x14ac:dyDescent="0.3">
      <c r="N229" s="11">
        <v>11</v>
      </c>
      <c r="O229" s="52">
        <f t="shared" si="254"/>
        <v>1288.2495516931347</v>
      </c>
      <c r="P229" s="50" t="str">
        <f t="shared" si="206"/>
        <v>23.3035714285714</v>
      </c>
      <c r="Q229" s="18" t="str">
        <f t="shared" si="207"/>
        <v>1+4.33623785098874i</v>
      </c>
      <c r="R229" s="18">
        <f t="shared" si="218"/>
        <v>4.4500515390664237</v>
      </c>
      <c r="S229" s="18">
        <f t="shared" si="219"/>
        <v>1.3441442429759423</v>
      </c>
      <c r="T229" s="18" t="str">
        <f t="shared" si="208"/>
        <v>1+0.00809431065517899i</v>
      </c>
      <c r="U229" s="18">
        <f t="shared" si="220"/>
        <v>1.000032758395935</v>
      </c>
      <c r="V229" s="18">
        <f t="shared" si="221"/>
        <v>8.0941338881435655E-3</v>
      </c>
      <c r="W229" s="32" t="str">
        <f t="shared" si="209"/>
        <v>1-0.0197860927126598i</v>
      </c>
      <c r="X229" s="18">
        <f t="shared" si="222"/>
        <v>1.0001957255781659</v>
      </c>
      <c r="Y229" s="18">
        <f t="shared" si="223"/>
        <v>-1.9783511303373656E-2</v>
      </c>
      <c r="Z229" s="32" t="str">
        <f t="shared" si="210"/>
        <v>0.99999336165237+0.00971094685078461i</v>
      </c>
      <c r="AA229" s="18">
        <f t="shared" si="224"/>
        <v>1.0000405120981581</v>
      </c>
      <c r="AB229" s="18">
        <f t="shared" si="225"/>
        <v>9.7107060715601809E-3</v>
      </c>
      <c r="AC229" s="68" t="str">
        <f t="shared" si="226"/>
        <v>1.06751213688903-5.12774057858386i</v>
      </c>
      <c r="AD229" s="66">
        <f t="shared" si="227"/>
        <v>14.38278141506588</v>
      </c>
      <c r="AE229" s="63">
        <f t="shared" si="228"/>
        <v>-78.239926644349183</v>
      </c>
      <c r="AF229" s="51" t="e">
        <f t="shared" si="229"/>
        <v>#NUM!</v>
      </c>
      <c r="AG229" s="51" t="str">
        <f t="shared" si="211"/>
        <v>1-6.07073299138426i</v>
      </c>
      <c r="AH229" s="51">
        <f t="shared" si="230"/>
        <v>6.1525441122092968</v>
      </c>
      <c r="AI229" s="51">
        <f t="shared" si="231"/>
        <v>-1.4075376706241192</v>
      </c>
      <c r="AJ229" s="51" t="str">
        <f t="shared" si="212"/>
        <v>1+0.00809431065517899i</v>
      </c>
      <c r="AK229" s="51">
        <f t="shared" si="232"/>
        <v>1.000032758395935</v>
      </c>
      <c r="AL229" s="51">
        <f t="shared" si="233"/>
        <v>8.0941338881435655E-3</v>
      </c>
      <c r="AM229" s="51" t="e">
        <f t="shared" si="213"/>
        <v>#NUM!</v>
      </c>
      <c r="AN229" s="51" t="e">
        <f t="shared" si="234"/>
        <v>#NUM!</v>
      </c>
      <c r="AO229" s="51" t="e">
        <f t="shared" si="235"/>
        <v>#NUM!</v>
      </c>
      <c r="AP229" s="60" t="e">
        <f t="shared" si="236"/>
        <v>#NUM!</v>
      </c>
      <c r="AQ229" s="51" t="e">
        <f t="shared" si="237"/>
        <v>#NUM!</v>
      </c>
      <c r="AR229" s="63" t="e">
        <f t="shared" si="238"/>
        <v>#NUM!</v>
      </c>
      <c r="AS229" s="32" t="str">
        <f t="shared" si="214"/>
        <v>-0.000170731707317073</v>
      </c>
      <c r="AT229" s="32" t="str">
        <f t="shared" si="215"/>
        <v>0.000307583804896802i</v>
      </c>
      <c r="AU229" s="32">
        <f t="shared" si="239"/>
        <v>3.0758380489680199E-4</v>
      </c>
      <c r="AV229" s="32">
        <f t="shared" si="240"/>
        <v>1.5707963267948966</v>
      </c>
      <c r="AW229" s="32" t="str">
        <f t="shared" si="216"/>
        <v>1+0.0654872333639007i</v>
      </c>
      <c r="AX229" s="32">
        <f t="shared" si="241"/>
        <v>1.002141994795976</v>
      </c>
      <c r="AY229" s="32">
        <f t="shared" si="242"/>
        <v>6.5393857818420095E-2</v>
      </c>
      <c r="AZ229" s="32" t="str">
        <f t="shared" si="217"/>
        <v>1+1.24425743391411i</v>
      </c>
      <c r="BA229" s="32">
        <f t="shared" si="243"/>
        <v>1.5963008995332069</v>
      </c>
      <c r="BB229" s="32">
        <f t="shared" si="244"/>
        <v>0.89380809171151421</v>
      </c>
      <c r="BC229" s="60" t="str">
        <f t="shared" si="245"/>
        <v>-0.651510385954807+0.597739399401619i</v>
      </c>
      <c r="BD229" s="51">
        <f t="shared" si="246"/>
        <v>-1.0692756988897794</v>
      </c>
      <c r="BE229" s="63">
        <f t="shared" si="247"/>
        <v>137.46463929063773</v>
      </c>
      <c r="BF229" s="60" t="str">
        <f t="shared" si="248"/>
        <v>2.36955732941401+3.97887030698728i</v>
      </c>
      <c r="BG229" s="66">
        <f t="shared" si="249"/>
        <v>13.313505716176088</v>
      </c>
      <c r="BH229" s="63">
        <f t="shared" si="250"/>
        <v>59.22471264628858</v>
      </c>
      <c r="BI229" s="60" t="e">
        <f t="shared" si="203"/>
        <v>#NUM!</v>
      </c>
      <c r="BJ229" s="66" t="e">
        <f t="shared" si="251"/>
        <v>#NUM!</v>
      </c>
      <c r="BK229" s="63" t="e">
        <f t="shared" si="204"/>
        <v>#NUM!</v>
      </c>
      <c r="BL229" s="51">
        <f t="shared" si="252"/>
        <v>13.313505716176088</v>
      </c>
      <c r="BM229" s="63">
        <f t="shared" si="253"/>
        <v>59.22471264628858</v>
      </c>
    </row>
    <row r="230" spans="14:65" x14ac:dyDescent="0.3">
      <c r="N230" s="11">
        <v>12</v>
      </c>
      <c r="O230" s="52">
        <f t="shared" si="254"/>
        <v>1318.2567385564089</v>
      </c>
      <c r="P230" s="50" t="str">
        <f t="shared" si="206"/>
        <v>23.3035714285714</v>
      </c>
      <c r="Q230" s="18" t="str">
        <f t="shared" si="207"/>
        <v>1+4.43724180577934i</v>
      </c>
      <c r="R230" s="18">
        <f t="shared" si="218"/>
        <v>4.5485288657934113</v>
      </c>
      <c r="S230" s="18">
        <f t="shared" si="219"/>
        <v>1.3491342847940007</v>
      </c>
      <c r="T230" s="18" t="str">
        <f t="shared" si="208"/>
        <v>1+0.00828285137078811i</v>
      </c>
      <c r="U230" s="18">
        <f t="shared" si="220"/>
        <v>1.0000343022250939</v>
      </c>
      <c r="V230" s="18">
        <f t="shared" si="221"/>
        <v>8.2826619618480146E-3</v>
      </c>
      <c r="W230" s="32" t="str">
        <f t="shared" si="209"/>
        <v>1-0.0202469700174821i</v>
      </c>
      <c r="X230" s="18">
        <f t="shared" si="222"/>
        <v>1.0002049488954197</v>
      </c>
      <c r="Y230" s="18">
        <f t="shared" si="223"/>
        <v>-2.0244204018207441E-2</v>
      </c>
      <c r="Z230" s="32" t="str">
        <f t="shared" si="210"/>
        <v>0.999993048796685+0.00993714386081876i</v>
      </c>
      <c r="AA230" s="18">
        <f t="shared" si="224"/>
        <v>1.0000424213351151</v>
      </c>
      <c r="AB230" s="18">
        <f t="shared" si="225"/>
        <v>9.936885861818243E-3</v>
      </c>
      <c r="AC230" s="68" t="str">
        <f t="shared" si="226"/>
        <v>1.01685980520994-5.02242406835454i</v>
      </c>
      <c r="AD230" s="66">
        <f t="shared" si="227"/>
        <v>14.192740052114466</v>
      </c>
      <c r="AE230" s="63">
        <f t="shared" si="228"/>
        <v>-78.554388012780137</v>
      </c>
      <c r="AF230" s="51" t="e">
        <f t="shared" si="229"/>
        <v>#NUM!</v>
      </c>
      <c r="AG230" s="51" t="str">
        <f t="shared" si="211"/>
        <v>1-6.2121385280911i</v>
      </c>
      <c r="AH230" s="51">
        <f t="shared" si="230"/>
        <v>6.2921113381911686</v>
      </c>
      <c r="AI230" s="51">
        <f t="shared" si="231"/>
        <v>-1.4111903894695716</v>
      </c>
      <c r="AJ230" s="51" t="str">
        <f t="shared" si="212"/>
        <v>1+0.00828285137078811i</v>
      </c>
      <c r="AK230" s="51">
        <f t="shared" si="232"/>
        <v>1.0000343022250939</v>
      </c>
      <c r="AL230" s="51">
        <f t="shared" si="233"/>
        <v>8.2826619618480146E-3</v>
      </c>
      <c r="AM230" s="51" t="e">
        <f t="shared" si="213"/>
        <v>#NUM!</v>
      </c>
      <c r="AN230" s="51" t="e">
        <f t="shared" si="234"/>
        <v>#NUM!</v>
      </c>
      <c r="AO230" s="51" t="e">
        <f t="shared" si="235"/>
        <v>#NUM!</v>
      </c>
      <c r="AP230" s="60" t="e">
        <f t="shared" si="236"/>
        <v>#NUM!</v>
      </c>
      <c r="AQ230" s="51" t="e">
        <f t="shared" si="237"/>
        <v>#NUM!</v>
      </c>
      <c r="AR230" s="63" t="e">
        <f t="shared" si="238"/>
        <v>#NUM!</v>
      </c>
      <c r="AS230" s="32" t="str">
        <f t="shared" si="214"/>
        <v>-0.000170731707317073</v>
      </c>
      <c r="AT230" s="32" t="str">
        <f t="shared" si="215"/>
        <v>0.000314748352089948i</v>
      </c>
      <c r="AU230" s="32">
        <f t="shared" si="239"/>
        <v>3.1474835208994802E-4</v>
      </c>
      <c r="AV230" s="32">
        <f t="shared" si="240"/>
        <v>1.5707963267948966</v>
      </c>
      <c r="AW230" s="32" t="str">
        <f t="shared" si="216"/>
        <v>1+0.067012626985134i</v>
      </c>
      <c r="AX230" s="32">
        <f t="shared" si="241"/>
        <v>1.0022428309424063</v>
      </c>
      <c r="AY230" s="32">
        <f t="shared" si="242"/>
        <v>6.6912585374204608E-2</v>
      </c>
      <c r="AZ230" s="32" t="str">
        <f t="shared" si="217"/>
        <v>1+1.27323991271755i</v>
      </c>
      <c r="BA230" s="32">
        <f t="shared" si="243"/>
        <v>1.6189934760019864</v>
      </c>
      <c r="BB230" s="32">
        <f t="shared" si="244"/>
        <v>0.90502271715678162</v>
      </c>
      <c r="BC230" s="60" t="str">
        <f t="shared" si="245"/>
        <v>-0.651379294986022+0.586089402478057i</v>
      </c>
      <c r="BD230" s="51">
        <f t="shared" si="246"/>
        <v>-1.1475428280557602</v>
      </c>
      <c r="BE230" s="63">
        <f t="shared" si="247"/>
        <v>138.02017331829487</v>
      </c>
      <c r="BF230" s="60" t="str">
        <f t="shared" si="248"/>
        <v>2.28122809819605+3.86747380440506i</v>
      </c>
      <c r="BG230" s="66">
        <f t="shared" si="249"/>
        <v>13.045197224058713</v>
      </c>
      <c r="BH230" s="63">
        <f t="shared" si="250"/>
        <v>59.465785305514771</v>
      </c>
      <c r="BI230" s="60" t="e">
        <f t="shared" si="203"/>
        <v>#NUM!</v>
      </c>
      <c r="BJ230" s="66" t="e">
        <f t="shared" si="251"/>
        <v>#NUM!</v>
      </c>
      <c r="BK230" s="63" t="e">
        <f t="shared" si="204"/>
        <v>#NUM!</v>
      </c>
      <c r="BL230" s="51">
        <f t="shared" si="252"/>
        <v>13.045197224058713</v>
      </c>
      <c r="BM230" s="63">
        <f t="shared" si="253"/>
        <v>59.465785305514771</v>
      </c>
    </row>
    <row r="231" spans="14:65" x14ac:dyDescent="0.3">
      <c r="N231" s="11">
        <v>13</v>
      </c>
      <c r="O231" s="52">
        <f t="shared" si="254"/>
        <v>1348.9628825916541</v>
      </c>
      <c r="P231" s="50" t="str">
        <f t="shared" si="206"/>
        <v>23.3035714285714</v>
      </c>
      <c r="Q231" s="18" t="str">
        <f t="shared" si="207"/>
        <v>1+4.54059844490919i</v>
      </c>
      <c r="R231" s="18">
        <f t="shared" si="218"/>
        <v>4.6494122465008143</v>
      </c>
      <c r="S231" s="18">
        <f t="shared" si="219"/>
        <v>1.3540216084148189</v>
      </c>
      <c r="T231" s="18" t="str">
        <f t="shared" si="208"/>
        <v>1+0.0084757837638305i</v>
      </c>
      <c r="U231" s="18">
        <f t="shared" si="220"/>
        <v>1.0000359188101251</v>
      </c>
      <c r="V231" s="18">
        <f t="shared" si="221"/>
        <v>8.4755808088883069E-3</v>
      </c>
      <c r="W231" s="32" t="str">
        <f t="shared" si="209"/>
        <v>1-0.0207185825338079i</v>
      </c>
      <c r="X231" s="18">
        <f t="shared" si="222"/>
        <v>1.0002146068030651</v>
      </c>
      <c r="Y231" s="18">
        <f t="shared" si="223"/>
        <v>-2.0715618746531075E-2</v>
      </c>
      <c r="Z231" s="32" t="str">
        <f t="shared" si="210"/>
        <v>0.999992721196566+0.0101686096760615i</v>
      </c>
      <c r="AA231" s="18">
        <f t="shared" si="224"/>
        <v>1.000044420547836</v>
      </c>
      <c r="AB231" s="18">
        <f t="shared" si="225"/>
        <v>1.0168333225810062E-2</v>
      </c>
      <c r="AC231" s="68" t="str">
        <f t="shared" si="226"/>
        <v>0.968271319721056-4.91879024288703i</v>
      </c>
      <c r="AD231" s="66">
        <f t="shared" si="227"/>
        <v>14.002278598088772</v>
      </c>
      <c r="AE231" s="63">
        <f t="shared" si="228"/>
        <v>-78.863628625113066</v>
      </c>
      <c r="AF231" s="51" t="e">
        <f t="shared" si="229"/>
        <v>#NUM!</v>
      </c>
      <c r="AG231" s="51" t="str">
        <f t="shared" si="211"/>
        <v>1-6.35683782287289i</v>
      </c>
      <c r="AH231" s="51">
        <f t="shared" si="230"/>
        <v>6.435012595660349</v>
      </c>
      <c r="AI231" s="51">
        <f t="shared" si="231"/>
        <v>-1.4147641178314807</v>
      </c>
      <c r="AJ231" s="51" t="str">
        <f t="shared" si="212"/>
        <v>1+0.0084757837638305i</v>
      </c>
      <c r="AK231" s="51">
        <f t="shared" si="232"/>
        <v>1.0000359188101251</v>
      </c>
      <c r="AL231" s="51">
        <f t="shared" si="233"/>
        <v>8.4755808088883069E-3</v>
      </c>
      <c r="AM231" s="51" t="e">
        <f t="shared" si="213"/>
        <v>#NUM!</v>
      </c>
      <c r="AN231" s="51" t="e">
        <f t="shared" si="234"/>
        <v>#NUM!</v>
      </c>
      <c r="AO231" s="51" t="e">
        <f t="shared" si="235"/>
        <v>#NUM!</v>
      </c>
      <c r="AP231" s="60" t="e">
        <f t="shared" si="236"/>
        <v>#NUM!</v>
      </c>
      <c r="AQ231" s="51" t="e">
        <f t="shared" si="237"/>
        <v>#NUM!</v>
      </c>
      <c r="AR231" s="63" t="e">
        <f t="shared" si="238"/>
        <v>#NUM!</v>
      </c>
      <c r="AS231" s="32" t="str">
        <f t="shared" si="214"/>
        <v>-0.000170731707317073</v>
      </c>
      <c r="AT231" s="32" t="str">
        <f t="shared" si="215"/>
        <v>0.000322079783025559i</v>
      </c>
      <c r="AU231" s="32">
        <f t="shared" si="239"/>
        <v>3.2207978302555902E-4</v>
      </c>
      <c r="AV231" s="32">
        <f t="shared" si="240"/>
        <v>1.5707963267948966</v>
      </c>
      <c r="AW231" s="32" t="str">
        <f t="shared" si="216"/>
        <v>1+0.0685735515882117i</v>
      </c>
      <c r="AX231" s="32">
        <f t="shared" si="241"/>
        <v>1.0023484084775218</v>
      </c>
      <c r="AY231" s="32">
        <f t="shared" si="242"/>
        <v>6.8466368630515473E-2</v>
      </c>
      <c r="AZ231" s="32" t="str">
        <f t="shared" si="217"/>
        <v>1+1.30289748017603i</v>
      </c>
      <c r="BA231" s="32">
        <f t="shared" si="243"/>
        <v>1.6424195090929263</v>
      </c>
      <c r="BB231" s="32">
        <f t="shared" si="244"/>
        <v>0.91617632415229344</v>
      </c>
      <c r="BC231" s="60" t="str">
        <f t="shared" si="245"/>
        <v>-0.65124208242006+0.574749333545391i</v>
      </c>
      <c r="BD231" s="51">
        <f t="shared" si="246"/>
        <v>-1.2236778353078921</v>
      </c>
      <c r="BE231" s="63">
        <f t="shared" si="247"/>
        <v>138.57020270262063</v>
      </c>
      <c r="BF231" s="60" t="str">
        <f t="shared" si="248"/>
        <v>2.19649238334613+3.75983649646601i</v>
      </c>
      <c r="BG231" s="66">
        <f t="shared" si="249"/>
        <v>12.778600762780865</v>
      </c>
      <c r="BH231" s="63">
        <f t="shared" si="250"/>
        <v>59.706574077507561</v>
      </c>
      <c r="BI231" s="60" t="e">
        <f t="shared" si="203"/>
        <v>#NUM!</v>
      </c>
      <c r="BJ231" s="66" t="e">
        <f t="shared" si="251"/>
        <v>#NUM!</v>
      </c>
      <c r="BK231" s="63" t="e">
        <f t="shared" si="204"/>
        <v>#NUM!</v>
      </c>
      <c r="BL231" s="51">
        <f t="shared" si="252"/>
        <v>12.778600762780865</v>
      </c>
      <c r="BM231" s="63">
        <f t="shared" si="253"/>
        <v>59.706574077507561</v>
      </c>
    </row>
    <row r="232" spans="14:65" x14ac:dyDescent="0.3">
      <c r="N232" s="11">
        <v>14</v>
      </c>
      <c r="O232" s="52">
        <f t="shared" si="254"/>
        <v>1380.3842646028863</v>
      </c>
      <c r="P232" s="50" t="str">
        <f t="shared" si="206"/>
        <v>23.3035714285714</v>
      </c>
      <c r="Q232" s="18" t="str">
        <f t="shared" si="207"/>
        <v>1+4.64636256943646i</v>
      </c>
      <c r="R232" s="18">
        <f t="shared" si="218"/>
        <v>4.752755529864773</v>
      </c>
      <c r="S232" s="18">
        <f t="shared" si="219"/>
        <v>1.3588078708309239</v>
      </c>
      <c r="T232" s="18" t="str">
        <f t="shared" si="208"/>
        <v>1+0.00867321012961475i</v>
      </c>
      <c r="U232" s="18">
        <f t="shared" si="220"/>
        <v>1.0000376115796608</v>
      </c>
      <c r="V232" s="18">
        <f t="shared" si="221"/>
        <v>8.6729926599178383E-3</v>
      </c>
      <c r="W232" s="32" t="str">
        <f t="shared" si="209"/>
        <v>1-0.0212011803168361i</v>
      </c>
      <c r="X232" s="18">
        <f t="shared" si="222"/>
        <v>1.0002247197739251</v>
      </c>
      <c r="Y232" s="18">
        <f t="shared" si="223"/>
        <v>-2.1198004600086154E-2</v>
      </c>
      <c r="Z232" s="32" t="str">
        <f t="shared" si="210"/>
        <v>0.999992378157128+0.0104054670227521i</v>
      </c>
      <c r="AA232" s="18">
        <f t="shared" si="224"/>
        <v>1.0000465139763801</v>
      </c>
      <c r="AB232" s="18">
        <f t="shared" si="225"/>
        <v>1.040517080170943E-2</v>
      </c>
      <c r="AC232" s="68" t="str">
        <f t="shared" si="226"/>
        <v>0.921671496947498-4.81684358280913i</v>
      </c>
      <c r="AD232" s="66">
        <f t="shared" si="227"/>
        <v>13.811414526814453</v>
      </c>
      <c r="AE232" s="63">
        <f t="shared" si="228"/>
        <v>-79.167758862342765</v>
      </c>
      <c r="AF232" s="51" t="e">
        <f t="shared" si="229"/>
        <v>#NUM!</v>
      </c>
      <c r="AG232" s="51" t="str">
        <f t="shared" si="211"/>
        <v>1-6.50490759721108i</v>
      </c>
      <c r="AH232" s="51">
        <f t="shared" si="230"/>
        <v>6.5813237914764855</v>
      </c>
      <c r="AI232" s="51">
        <f t="shared" si="231"/>
        <v>-1.4182603852255364</v>
      </c>
      <c r="AJ232" s="51" t="str">
        <f t="shared" si="212"/>
        <v>1+0.00867321012961475i</v>
      </c>
      <c r="AK232" s="51">
        <f t="shared" si="232"/>
        <v>1.0000376115796608</v>
      </c>
      <c r="AL232" s="51">
        <f t="shared" si="233"/>
        <v>8.6729926599178383E-3</v>
      </c>
      <c r="AM232" s="51" t="e">
        <f t="shared" si="213"/>
        <v>#NUM!</v>
      </c>
      <c r="AN232" s="51" t="e">
        <f t="shared" si="234"/>
        <v>#NUM!</v>
      </c>
      <c r="AO232" s="51" t="e">
        <f t="shared" si="235"/>
        <v>#NUM!</v>
      </c>
      <c r="AP232" s="60" t="e">
        <f t="shared" si="236"/>
        <v>#NUM!</v>
      </c>
      <c r="AQ232" s="51" t="e">
        <f t="shared" si="237"/>
        <v>#NUM!</v>
      </c>
      <c r="AR232" s="63" t="e">
        <f t="shared" si="238"/>
        <v>#NUM!</v>
      </c>
      <c r="AS232" s="32" t="str">
        <f t="shared" si="214"/>
        <v>-0.000170731707317073</v>
      </c>
      <c r="AT232" s="32" t="str">
        <f t="shared" si="215"/>
        <v>0.000329581984925361i</v>
      </c>
      <c r="AU232" s="32">
        <f t="shared" si="239"/>
        <v>3.2958198492536101E-4</v>
      </c>
      <c r="AV232" s="32">
        <f t="shared" si="240"/>
        <v>1.5707963267948966</v>
      </c>
      <c r="AW232" s="32" t="str">
        <f t="shared" si="216"/>
        <v>1+0.0701708347960199i</v>
      </c>
      <c r="AX232" s="32">
        <f t="shared" si="241"/>
        <v>1.0024589498108989</v>
      </c>
      <c r="AY232" s="32">
        <f t="shared" si="242"/>
        <v>7.0056001397248699E-2</v>
      </c>
      <c r="AZ232" s="32" t="str">
        <f t="shared" si="217"/>
        <v>1+1.33324586112438i</v>
      </c>
      <c r="BA232" s="32">
        <f t="shared" si="243"/>
        <v>1.6665966897258886</v>
      </c>
      <c r="BB232" s="32">
        <f t="shared" si="244"/>
        <v>0.92726372668418422</v>
      </c>
      <c r="BC232" s="60" t="str">
        <f t="shared" si="245"/>
        <v>-0.651098465169642+0.563713121549225i</v>
      </c>
      <c r="BD232" s="51">
        <f t="shared" si="246"/>
        <v>-1.297707286448722</v>
      </c>
      <c r="BE232" s="63">
        <f t="shared" si="247"/>
        <v>139.11438482495109</v>
      </c>
      <c r="BF232" s="60" t="str">
        <f t="shared" si="248"/>
        <v>2.11521903502657+3.65579778031648i</v>
      </c>
      <c r="BG232" s="66">
        <f t="shared" si="249"/>
        <v>12.513707240365726</v>
      </c>
      <c r="BH232" s="63">
        <f t="shared" si="250"/>
        <v>59.946625962608259</v>
      </c>
      <c r="BI232" s="60" t="e">
        <f t="shared" si="203"/>
        <v>#NUM!</v>
      </c>
      <c r="BJ232" s="66" t="e">
        <f t="shared" si="251"/>
        <v>#NUM!</v>
      </c>
      <c r="BK232" s="63" t="e">
        <f t="shared" si="204"/>
        <v>#NUM!</v>
      </c>
      <c r="BL232" s="51">
        <f t="shared" si="252"/>
        <v>12.513707240365726</v>
      </c>
      <c r="BM232" s="63">
        <f t="shared" si="253"/>
        <v>59.946625962608259</v>
      </c>
    </row>
    <row r="233" spans="14:65" x14ac:dyDescent="0.3">
      <c r="N233" s="11">
        <v>15</v>
      </c>
      <c r="O233" s="52">
        <f t="shared" si="254"/>
        <v>1412.5375446227545</v>
      </c>
      <c r="P233" s="50" t="str">
        <f t="shared" si="206"/>
        <v>23.3035714285714</v>
      </c>
      <c r="Q233" s="18" t="str">
        <f t="shared" si="207"/>
        <v>1+4.75459025689993i</v>
      </c>
      <c r="R233" s="18">
        <f t="shared" si="218"/>
        <v>4.8586138466652962</v>
      </c>
      <c r="S233" s="18">
        <f t="shared" si="219"/>
        <v>1.3634947322172384</v>
      </c>
      <c r="T233" s="18" t="str">
        <f t="shared" si="208"/>
        <v>1+0.00887523514621322i</v>
      </c>
      <c r="U233" s="18">
        <f t="shared" si="220"/>
        <v>1.0000393841238957</v>
      </c>
      <c r="V233" s="18">
        <f t="shared" si="221"/>
        <v>8.8750021237303141E-3</v>
      </c>
      <c r="W233" s="32" t="str">
        <f t="shared" si="209"/>
        <v>1-0.021695019246299i</v>
      </c>
      <c r="X233" s="18">
        <f t="shared" si="222"/>
        <v>1.0002353092448282</v>
      </c>
      <c r="Y233" s="18">
        <f t="shared" si="223"/>
        <v>-2.1691616447727814E-2</v>
      </c>
      <c r="Z233" s="32" t="str">
        <f t="shared" si="210"/>
        <v>0.99999201895074+0.0106478414857907i</v>
      </c>
      <c r="AA233" s="18">
        <f t="shared" si="224"/>
        <v>1.0000487060606016</v>
      </c>
      <c r="AB233" s="18">
        <f t="shared" si="225"/>
        <v>1.0647524080053667E-2</v>
      </c>
      <c r="AC233" s="68" t="str">
        <f t="shared" si="226"/>
        <v>0.876987136424625-4.71658610339754i</v>
      </c>
      <c r="AD233" s="66">
        <f t="shared" si="227"/>
        <v>13.620164686514551</v>
      </c>
      <c r="AE233" s="63">
        <f t="shared" si="228"/>
        <v>-79.466889644831085</v>
      </c>
      <c r="AF233" s="51" t="e">
        <f t="shared" si="229"/>
        <v>#NUM!</v>
      </c>
      <c r="AG233" s="51" t="str">
        <f t="shared" si="211"/>
        <v>1-6.65642635965993i</v>
      </c>
      <c r="AH233" s="51">
        <f t="shared" si="230"/>
        <v>6.7311226315953823</v>
      </c>
      <c r="AI233" s="51">
        <f t="shared" si="231"/>
        <v>-1.4216807033396961</v>
      </c>
      <c r="AJ233" s="51" t="str">
        <f t="shared" si="212"/>
        <v>1+0.00887523514621322i</v>
      </c>
      <c r="AK233" s="51">
        <f t="shared" si="232"/>
        <v>1.0000393841238957</v>
      </c>
      <c r="AL233" s="51">
        <f t="shared" si="233"/>
        <v>8.8750021237303141E-3</v>
      </c>
      <c r="AM233" s="51" t="e">
        <f t="shared" si="213"/>
        <v>#NUM!</v>
      </c>
      <c r="AN233" s="51" t="e">
        <f t="shared" si="234"/>
        <v>#NUM!</v>
      </c>
      <c r="AO233" s="51" t="e">
        <f t="shared" si="235"/>
        <v>#NUM!</v>
      </c>
      <c r="AP233" s="60" t="e">
        <f t="shared" si="236"/>
        <v>#NUM!</v>
      </c>
      <c r="AQ233" s="51" t="e">
        <f t="shared" si="237"/>
        <v>#NUM!</v>
      </c>
      <c r="AR233" s="63" t="e">
        <f t="shared" si="238"/>
        <v>#NUM!</v>
      </c>
      <c r="AS233" s="32" t="str">
        <f t="shared" si="214"/>
        <v>-0.000170731707317073</v>
      </c>
      <c r="AT233" s="32" t="str">
        <f t="shared" si="215"/>
        <v>0.000337258935556102i</v>
      </c>
      <c r="AU233" s="32">
        <f t="shared" si="239"/>
        <v>3.3725893555610199E-4</v>
      </c>
      <c r="AV233" s="32">
        <f t="shared" si="240"/>
        <v>1.5707963267948966</v>
      </c>
      <c r="AW233" s="32" t="str">
        <f t="shared" si="216"/>
        <v>1+0.0718053235092576i</v>
      </c>
      <c r="AX233" s="32">
        <f t="shared" si="241"/>
        <v>1.0025746877336716</v>
      </c>
      <c r="AY233" s="32">
        <f t="shared" si="242"/>
        <v>7.168229436552731E-2</v>
      </c>
      <c r="AZ233" s="32" t="str">
        <f t="shared" si="217"/>
        <v>1+1.3643011466759i</v>
      </c>
      <c r="BA233" s="32">
        <f t="shared" si="243"/>
        <v>1.6915429698417881</v>
      </c>
      <c r="BB233" s="32">
        <f t="shared" si="244"/>
        <v>0.93827990004028727</v>
      </c>
      <c r="BC233" s="60" t="str">
        <f t="shared" si="245"/>
        <v>-0.650948147322643+0.552974852435031i</v>
      </c>
      <c r="BD233" s="51">
        <f t="shared" si="246"/>
        <v>-1.3696596562227892</v>
      </c>
      <c r="BE233" s="63">
        <f t="shared" si="247"/>
        <v>139.65238534130603</v>
      </c>
      <c r="BF233" s="60" t="str">
        <f t="shared" si="248"/>
        <v>2.03728035284197+3.55520481804618i</v>
      </c>
      <c r="BG233" s="66">
        <f t="shared" si="249"/>
        <v>12.250505030291759</v>
      </c>
      <c r="BH233" s="63">
        <f t="shared" si="250"/>
        <v>60.18549569647498</v>
      </c>
      <c r="BI233" s="60" t="e">
        <f t="shared" si="203"/>
        <v>#NUM!</v>
      </c>
      <c r="BJ233" s="66" t="e">
        <f t="shared" si="251"/>
        <v>#NUM!</v>
      </c>
      <c r="BK233" s="63" t="e">
        <f t="shared" si="204"/>
        <v>#NUM!</v>
      </c>
      <c r="BL233" s="51">
        <f t="shared" si="252"/>
        <v>12.250505030291759</v>
      </c>
      <c r="BM233" s="63">
        <f t="shared" si="253"/>
        <v>60.18549569647498</v>
      </c>
    </row>
    <row r="234" spans="14:65" x14ac:dyDescent="0.3">
      <c r="N234" s="11">
        <v>16</v>
      </c>
      <c r="O234" s="52">
        <f t="shared" si="254"/>
        <v>1445.4397707459289</v>
      </c>
      <c r="P234" s="50" t="str">
        <f t="shared" si="206"/>
        <v>23.3035714285714</v>
      </c>
      <c r="Q234" s="18" t="str">
        <f t="shared" si="207"/>
        <v>1+4.86533889105205i</v>
      </c>
      <c r="R234" s="18">
        <f t="shared" si="218"/>
        <v>4.9670436403139844</v>
      </c>
      <c r="S234" s="18">
        <f t="shared" si="219"/>
        <v>1.3680838535891759</v>
      </c>
      <c r="T234" s="18" t="str">
        <f t="shared" si="208"/>
        <v>1+0.00908196592996385i</v>
      </c>
      <c r="U234" s="18">
        <f t="shared" si="220"/>
        <v>1.0000412402021994</v>
      </c>
      <c r="V234" s="18">
        <f t="shared" si="221"/>
        <v>9.0817162424309747E-3</v>
      </c>
      <c r="W234" s="32" t="str">
        <f t="shared" si="209"/>
        <v>1-0.0222003611621339i</v>
      </c>
      <c r="X234" s="18">
        <f t="shared" si="222"/>
        <v>1.0002463976619607</v>
      </c>
      <c r="Y234" s="18">
        <f t="shared" si="223"/>
        <v>-2.2196715046281262E-2</v>
      </c>
      <c r="Z234" s="32" t="str">
        <f t="shared" si="210"/>
        <v>0.999991642815477+0.0108958615753259i</v>
      </c>
      <c r="AA234" s="18">
        <f t="shared" si="224"/>
        <v>1.0000510014495587</v>
      </c>
      <c r="AB234" s="18">
        <f t="shared" si="225"/>
        <v>1.0895521469880999E-2</v>
      </c>
      <c r="AC234" s="68" t="str">
        <f t="shared" si="226"/>
        <v>0.83414703598393-4.61801752033976i</v>
      </c>
      <c r="AD234" s="66">
        <f t="shared" si="227"/>
        <v>13.428545317192782</v>
      </c>
      <c r="AE234" s="63">
        <f t="shared" si="228"/>
        <v>-79.761132306251525</v>
      </c>
      <c r="AF234" s="51" t="e">
        <f t="shared" si="229"/>
        <v>#NUM!</v>
      </c>
      <c r="AG234" s="51" t="str">
        <f t="shared" si="211"/>
        <v>1-6.8114744474729i</v>
      </c>
      <c r="AH234" s="51">
        <f t="shared" si="230"/>
        <v>6.8844886628257465</v>
      </c>
      <c r="AI234" s="51">
        <f t="shared" si="231"/>
        <v>-1.4250265654039262</v>
      </c>
      <c r="AJ234" s="51" t="str">
        <f t="shared" si="212"/>
        <v>1+0.00908196592996385i</v>
      </c>
      <c r="AK234" s="51">
        <f t="shared" si="232"/>
        <v>1.0000412402021994</v>
      </c>
      <c r="AL234" s="51">
        <f t="shared" si="233"/>
        <v>9.0817162424309747E-3</v>
      </c>
      <c r="AM234" s="51" t="e">
        <f t="shared" si="213"/>
        <v>#NUM!</v>
      </c>
      <c r="AN234" s="51" t="e">
        <f t="shared" si="234"/>
        <v>#NUM!</v>
      </c>
      <c r="AO234" s="51" t="e">
        <f t="shared" si="235"/>
        <v>#NUM!</v>
      </c>
      <c r="AP234" s="60" t="e">
        <f t="shared" si="236"/>
        <v>#NUM!</v>
      </c>
      <c r="AQ234" s="51" t="e">
        <f t="shared" si="237"/>
        <v>#NUM!</v>
      </c>
      <c r="AR234" s="63" t="e">
        <f t="shared" si="238"/>
        <v>#NUM!</v>
      </c>
      <c r="AS234" s="32" t="str">
        <f t="shared" si="214"/>
        <v>-0.000170731707317073</v>
      </c>
      <c r="AT234" s="32" t="str">
        <f t="shared" si="215"/>
        <v>0.000345114705338626i</v>
      </c>
      <c r="AU234" s="32">
        <f t="shared" si="239"/>
        <v>3.4511470533862598E-4</v>
      </c>
      <c r="AV234" s="32">
        <f t="shared" si="240"/>
        <v>1.5707963267948966</v>
      </c>
      <c r="AW234" s="32" t="str">
        <f t="shared" si="216"/>
        <v>1+0.0734778843554759i</v>
      </c>
      <c r="AX234" s="32">
        <f t="shared" si="241"/>
        <v>1.0026958658982077</v>
      </c>
      <c r="AY234" s="32">
        <f t="shared" si="242"/>
        <v>7.3346075387964643E-2</v>
      </c>
      <c r="AZ234" s="32" t="str">
        <f t="shared" si="217"/>
        <v>1+1.39607980275404i</v>
      </c>
      <c r="BA234" s="32">
        <f t="shared" si="243"/>
        <v>1.717276569355606</v>
      </c>
      <c r="BB234" s="32">
        <f t="shared" si="244"/>
        <v>0.94921999045173888</v>
      </c>
      <c r="BC234" s="60" t="str">
        <f t="shared" si="245"/>
        <v>-0.650790819586637+0.542528765726698i</v>
      </c>
      <c r="BD234" s="51">
        <f t="shared" si="246"/>
        <v>-1.4395652323658268</v>
      </c>
      <c r="BE234" s="63">
        <f t="shared" si="247"/>
        <v>140.18387871875422</v>
      </c>
      <c r="BF234" s="60" t="str">
        <f t="shared" si="248"/>
        <v>1.96255211221045+3.45791216879431i</v>
      </c>
      <c r="BG234" s="66">
        <f t="shared" si="249"/>
        <v>11.988980084826961</v>
      </c>
      <c r="BH234" s="63">
        <f t="shared" si="250"/>
        <v>60.422746412502725</v>
      </c>
      <c r="BI234" s="60" t="e">
        <f t="shared" si="203"/>
        <v>#NUM!</v>
      </c>
      <c r="BJ234" s="66" t="e">
        <f t="shared" si="251"/>
        <v>#NUM!</v>
      </c>
      <c r="BK234" s="63" t="e">
        <f t="shared" si="204"/>
        <v>#NUM!</v>
      </c>
      <c r="BL234" s="51">
        <f t="shared" si="252"/>
        <v>11.988980084826961</v>
      </c>
      <c r="BM234" s="63">
        <f t="shared" si="253"/>
        <v>60.422746412502725</v>
      </c>
    </row>
    <row r="235" spans="14:65" x14ac:dyDescent="0.3">
      <c r="N235" s="11">
        <v>17</v>
      </c>
      <c r="O235" s="52">
        <f t="shared" si="254"/>
        <v>1479.1083881682086</v>
      </c>
      <c r="P235" s="50" t="str">
        <f t="shared" si="206"/>
        <v>23.3035714285714</v>
      </c>
      <c r="Q235" s="18" t="str">
        <f t="shared" si="207"/>
        <v>1+4.97866719228458i</v>
      </c>
      <c r="R235" s="18">
        <f t="shared" si="218"/>
        <v>5.078102698009447</v>
      </c>
      <c r="S235" s="18">
        <f t="shared" si="219"/>
        <v>1.3725768946204708</v>
      </c>
      <c r="T235" s="18" t="str">
        <f t="shared" si="208"/>
        <v>1+0.00929351209226457i</v>
      </c>
      <c r="U235" s="18">
        <f t="shared" si="220"/>
        <v>1.0000431837510864</v>
      </c>
      <c r="V235" s="18">
        <f t="shared" si="221"/>
        <v>9.293244547876783E-3</v>
      </c>
      <c r="W235" s="32" t="str">
        <f t="shared" si="209"/>
        <v>1-0.0227174740033134i</v>
      </c>
      <c r="X235" s="18">
        <f t="shared" si="222"/>
        <v>1.0002580085283452</v>
      </c>
      <c r="Y235" s="18">
        <f t="shared" si="223"/>
        <v>-2.2713567174213533E-2</v>
      </c>
      <c r="Z235" s="32" t="str">
        <f t="shared" si="210"/>
        <v>0.999991248953504+0.0111496587948921i</v>
      </c>
      <c r="AA235" s="18">
        <f t="shared" si="224"/>
        <v>1.0000534050113681</v>
      </c>
      <c r="AB235" s="18">
        <f t="shared" si="225"/>
        <v>1.1149294366385473E-2</v>
      </c>
      <c r="AC235" s="68" t="str">
        <f t="shared" si="226"/>
        <v>0.793081999326571-4.5211354088798i</v>
      </c>
      <c r="AD235" s="66">
        <f t="shared" si="227"/>
        <v>13.236572068131236</v>
      </c>
      <c r="AE235" s="63">
        <f t="shared" si="228"/>
        <v>-80.050598476861595</v>
      </c>
      <c r="AF235" s="51" t="e">
        <f t="shared" si="229"/>
        <v>#NUM!</v>
      </c>
      <c r="AG235" s="51" t="str">
        <f t="shared" si="211"/>
        <v>1-6.97013406919844i</v>
      </c>
      <c r="AH235" s="51">
        <f t="shared" si="230"/>
        <v>7.0415033155286384</v>
      </c>
      <c r="AI235" s="51">
        <f t="shared" si="231"/>
        <v>-1.4282994456333544</v>
      </c>
      <c r="AJ235" s="51" t="str">
        <f t="shared" si="212"/>
        <v>1+0.00929351209226457i</v>
      </c>
      <c r="AK235" s="51">
        <f t="shared" si="232"/>
        <v>1.0000431837510864</v>
      </c>
      <c r="AL235" s="51">
        <f t="shared" si="233"/>
        <v>9.293244547876783E-3</v>
      </c>
      <c r="AM235" s="51" t="e">
        <f t="shared" si="213"/>
        <v>#NUM!</v>
      </c>
      <c r="AN235" s="51" t="e">
        <f t="shared" si="234"/>
        <v>#NUM!</v>
      </c>
      <c r="AO235" s="51" t="e">
        <f t="shared" si="235"/>
        <v>#NUM!</v>
      </c>
      <c r="AP235" s="60" t="e">
        <f t="shared" si="236"/>
        <v>#NUM!</v>
      </c>
      <c r="AQ235" s="51" t="e">
        <f t="shared" si="237"/>
        <v>#NUM!</v>
      </c>
      <c r="AR235" s="63" t="e">
        <f t="shared" si="238"/>
        <v>#NUM!</v>
      </c>
      <c r="AS235" s="32" t="str">
        <f t="shared" si="214"/>
        <v>-0.000170731707317073</v>
      </c>
      <c r="AT235" s="32" t="str">
        <f t="shared" si="215"/>
        <v>0.000353153459506054i</v>
      </c>
      <c r="AU235" s="32">
        <f t="shared" si="239"/>
        <v>3.5315345950605401E-4</v>
      </c>
      <c r="AV235" s="32">
        <f t="shared" si="240"/>
        <v>1.5707963267948966</v>
      </c>
      <c r="AW235" s="32" t="str">
        <f t="shared" si="216"/>
        <v>1+0.0751894041485741i</v>
      </c>
      <c r="AX235" s="32">
        <f t="shared" si="241"/>
        <v>1.002822739319476</v>
      </c>
      <c r="AY235" s="32">
        <f t="shared" si="242"/>
        <v>7.5048189757630418E-2</v>
      </c>
      <c r="AZ235" s="32" t="str">
        <f t="shared" si="217"/>
        <v>1+1.42859867882291i</v>
      </c>
      <c r="BA235" s="32">
        <f t="shared" si="243"/>
        <v>1.7438159837364045</v>
      </c>
      <c r="BB235" s="32">
        <f t="shared" si="244"/>
        <v>0.96007932378306093</v>
      </c>
      <c r="BC235" s="60" t="str">
        <f t="shared" si="245"/>
        <v>-0.650626158711946+0.532369251167096i</v>
      </c>
      <c r="BD235" s="51">
        <f t="shared" si="246"/>
        <v>-1.5074560154542391</v>
      </c>
      <c r="BE235" s="63">
        <f t="shared" si="247"/>
        <v>140.70854871733431</v>
      </c>
      <c r="BF235" s="60" t="str">
        <f t="shared" si="248"/>
        <v>1.89091357728494+3.36378143419162i</v>
      </c>
      <c r="BG235" s="66">
        <f t="shared" si="249"/>
        <v>11.729116052676996</v>
      </c>
      <c r="BH235" s="63">
        <f t="shared" si="250"/>
        <v>60.657950240472815</v>
      </c>
      <c r="BI235" s="60" t="e">
        <f t="shared" si="203"/>
        <v>#NUM!</v>
      </c>
      <c r="BJ235" s="66" t="e">
        <f t="shared" si="251"/>
        <v>#NUM!</v>
      </c>
      <c r="BK235" s="63" t="e">
        <f t="shared" si="204"/>
        <v>#NUM!</v>
      </c>
      <c r="BL235" s="51">
        <f t="shared" si="252"/>
        <v>11.729116052676996</v>
      </c>
      <c r="BM235" s="63">
        <f t="shared" si="253"/>
        <v>60.657950240472815</v>
      </c>
    </row>
    <row r="236" spans="14:65" x14ac:dyDescent="0.3">
      <c r="N236" s="11">
        <v>18</v>
      </c>
      <c r="O236" s="52">
        <f t="shared" si="254"/>
        <v>1513.5612484362093</v>
      </c>
      <c r="P236" s="50" t="str">
        <f t="shared" si="206"/>
        <v>23.3035714285714</v>
      </c>
      <c r="Q236" s="18" t="str">
        <f t="shared" si="207"/>
        <v>1+5.09463524876291i</v>
      </c>
      <c r="R236" s="18">
        <f t="shared" si="218"/>
        <v>5.1918501825397003</v>
      </c>
      <c r="S236" s="18">
        <f t="shared" si="219"/>
        <v>1.3769755116142124</v>
      </c>
      <c r="T236" s="18" t="str">
        <f t="shared" si="208"/>
        <v>1+0.00950998579769078i</v>
      </c>
      <c r="U236" s="18">
        <f t="shared" si="220"/>
        <v>1.0000452188925619</v>
      </c>
      <c r="V236" s="18">
        <f t="shared" si="221"/>
        <v>9.5096991194143568E-3</v>
      </c>
      <c r="W236" s="32" t="str">
        <f t="shared" si="209"/>
        <v>1-0.0232466319499108i</v>
      </c>
      <c r="X236" s="18">
        <f t="shared" si="222"/>
        <v>1.0002701664535509</v>
      </c>
      <c r="Y236" s="18">
        <f t="shared" si="223"/>
        <v>-2.3242445768172217E-2</v>
      </c>
      <c r="Z236" s="32" t="str">
        <f t="shared" si="210"/>
        <v>0.999990836529389+0.0114093677111346i</v>
      </c>
      <c r="AA236" s="18">
        <f t="shared" si="224"/>
        <v>1.0000559218435312</v>
      </c>
      <c r="AB236" s="18">
        <f t="shared" si="225"/>
        <v>1.1408977220125061E-2</v>
      </c>
      <c r="AC236" s="68" t="str">
        <f t="shared" si="226"/>
        <v>0.753724836606837-4.42593535630265i</v>
      </c>
      <c r="AD236" s="66">
        <f t="shared" si="227"/>
        <v>13.044260015441118</v>
      </c>
      <c r="AE236" s="63">
        <f t="shared" si="228"/>
        <v>-80.335399975731974</v>
      </c>
      <c r="AF236" s="51" t="e">
        <f t="shared" si="229"/>
        <v>#NUM!</v>
      </c>
      <c r="AG236" s="51" t="str">
        <f t="shared" si="211"/>
        <v>1-7.1324893482681i</v>
      </c>
      <c r="AH236" s="51">
        <f t="shared" si="230"/>
        <v>7.2022499472843826</v>
      </c>
      <c r="AI236" s="51">
        <f t="shared" si="231"/>
        <v>-1.4315007987402388</v>
      </c>
      <c r="AJ236" s="51" t="str">
        <f t="shared" si="212"/>
        <v>1+0.00950998579769078i</v>
      </c>
      <c r="AK236" s="51">
        <f t="shared" si="232"/>
        <v>1.0000452188925619</v>
      </c>
      <c r="AL236" s="51">
        <f t="shared" si="233"/>
        <v>9.5096991194143568E-3</v>
      </c>
      <c r="AM236" s="51" t="e">
        <f t="shared" si="213"/>
        <v>#NUM!</v>
      </c>
      <c r="AN236" s="51" t="e">
        <f t="shared" si="234"/>
        <v>#NUM!</v>
      </c>
      <c r="AO236" s="51" t="e">
        <f t="shared" si="235"/>
        <v>#NUM!</v>
      </c>
      <c r="AP236" s="60" t="e">
        <f t="shared" si="236"/>
        <v>#NUM!</v>
      </c>
      <c r="AQ236" s="51" t="e">
        <f t="shared" si="237"/>
        <v>#NUM!</v>
      </c>
      <c r="AR236" s="63" t="e">
        <f t="shared" si="238"/>
        <v>#NUM!</v>
      </c>
      <c r="AS236" s="32" t="str">
        <f t="shared" si="214"/>
        <v>-0.000170731707317073</v>
      </c>
      <c r="AT236" s="32" t="str">
        <f t="shared" si="215"/>
        <v>0.00036137946031225i</v>
      </c>
      <c r="AU236" s="32">
        <f t="shared" si="239"/>
        <v>3.6137946031225001E-4</v>
      </c>
      <c r="AV236" s="32">
        <f t="shared" si="240"/>
        <v>1.5707963267948966</v>
      </c>
      <c r="AW236" s="32" t="str">
        <f t="shared" si="216"/>
        <v>1+0.0769407903590013i</v>
      </c>
      <c r="AX236" s="32">
        <f t="shared" si="241"/>
        <v>1.002955574899042</v>
      </c>
      <c r="AY236" s="32">
        <f t="shared" si="242"/>
        <v>7.6789500485166001E-2</v>
      </c>
      <c r="AZ236" s="32" t="str">
        <f t="shared" si="217"/>
        <v>1+1.46187501682103i</v>
      </c>
      <c r="BA236" s="32">
        <f t="shared" si="243"/>
        <v>1.771179992210133</v>
      </c>
      <c r="BB236" s="32">
        <f t="shared" si="244"/>
        <v>0.97085341324746299</v>
      </c>
      <c r="BC236" s="60" t="str">
        <f t="shared" si="245"/>
        <v>-0.650453826892456+0.522490845417518i</v>
      </c>
      <c r="BD236" s="51">
        <f t="shared" si="246"/>
        <v>-1.573365615337954</v>
      </c>
      <c r="BE236" s="63">
        <f t="shared" si="247"/>
        <v>141.22608881623222</v>
      </c>
      <c r="BF236" s="60" t="str">
        <f t="shared" si="248"/>
        <v>1.82224750168305+3.27268091717657i</v>
      </c>
      <c r="BG236" s="66">
        <f t="shared" si="249"/>
        <v>11.470894400103166</v>
      </c>
      <c r="BH236" s="63">
        <f t="shared" si="250"/>
        <v>60.890688840500211</v>
      </c>
      <c r="BI236" s="60" t="e">
        <f t="shared" si="203"/>
        <v>#NUM!</v>
      </c>
      <c r="BJ236" s="66" t="e">
        <f t="shared" si="251"/>
        <v>#NUM!</v>
      </c>
      <c r="BK236" s="63" t="e">
        <f t="shared" si="204"/>
        <v>#NUM!</v>
      </c>
      <c r="BL236" s="51">
        <f t="shared" si="252"/>
        <v>11.470894400103166</v>
      </c>
      <c r="BM236" s="63">
        <f t="shared" si="253"/>
        <v>60.890688840500211</v>
      </c>
    </row>
    <row r="237" spans="14:65" x14ac:dyDescent="0.3">
      <c r="N237" s="11">
        <v>19</v>
      </c>
      <c r="O237" s="52">
        <f t="shared" si="254"/>
        <v>1548.8166189124822</v>
      </c>
      <c r="P237" s="50" t="str">
        <f t="shared" si="206"/>
        <v>23.3035714285714</v>
      </c>
      <c r="Q237" s="18" t="str">
        <f t="shared" si="207"/>
        <v>1+5.2133045482856i</v>
      </c>
      <c r="R237" s="18">
        <f t="shared" si="218"/>
        <v>5.3083466647512125</v>
      </c>
      <c r="S237" s="18">
        <f t="shared" si="219"/>
        <v>1.3812813556205308</v>
      </c>
      <c r="T237" s="18" t="str">
        <f t="shared" si="208"/>
        <v>1+0.00973150182346647i</v>
      </c>
      <c r="U237" s="18">
        <f t="shared" si="220"/>
        <v>1.0000473499428615</v>
      </c>
      <c r="V237" s="18">
        <f t="shared" si="221"/>
        <v>9.7311946429444081E-3</v>
      </c>
      <c r="W237" s="32" t="str">
        <f t="shared" si="209"/>
        <v>1-0.0237881155684736i</v>
      </c>
      <c r="X237" s="18">
        <f t="shared" si="222"/>
        <v>1.0002828972057352</v>
      </c>
      <c r="Y237" s="18">
        <f t="shared" si="223"/>
        <v>-2.378363006243819E-2</v>
      </c>
      <c r="Z237" s="32" t="str">
        <f t="shared" si="210"/>
        <v>0.999990404668324+0.0116751260251583i</v>
      </c>
      <c r="AA237" s="18">
        <f t="shared" si="224"/>
        <v>1.0000585572837331</v>
      </c>
      <c r="AB237" s="18">
        <f t="shared" si="225"/>
        <v>1.1674707607816593E-2</v>
      </c>
      <c r="AC237" s="68" t="str">
        <f t="shared" si="226"/>
        <v>0.716010358707926-4.33241110775496i</v>
      </c>
      <c r="AD237" s="66">
        <f t="shared" si="227"/>
        <v>12.851623679610388</v>
      </c>
      <c r="AE237" s="63">
        <f t="shared" si="228"/>
        <v>-80.6156487115597</v>
      </c>
      <c r="AF237" s="51" t="e">
        <f t="shared" si="229"/>
        <v>#NUM!</v>
      </c>
      <c r="AG237" s="51" t="str">
        <f t="shared" si="211"/>
        <v>1-7.29862636759987i</v>
      </c>
      <c r="AH237" s="51">
        <f t="shared" si="230"/>
        <v>7.3668138875516656</v>
      </c>
      <c r="AI237" s="51">
        <f t="shared" si="231"/>
        <v>-1.4346320595103597</v>
      </c>
      <c r="AJ237" s="51" t="str">
        <f t="shared" si="212"/>
        <v>1+0.00973150182346647i</v>
      </c>
      <c r="AK237" s="51">
        <f t="shared" si="232"/>
        <v>1.0000473499428615</v>
      </c>
      <c r="AL237" s="51">
        <f t="shared" si="233"/>
        <v>9.7311946429444081E-3</v>
      </c>
      <c r="AM237" s="51" t="e">
        <f t="shared" si="213"/>
        <v>#NUM!</v>
      </c>
      <c r="AN237" s="51" t="e">
        <f t="shared" si="234"/>
        <v>#NUM!</v>
      </c>
      <c r="AO237" s="51" t="e">
        <f t="shared" si="235"/>
        <v>#NUM!</v>
      </c>
      <c r="AP237" s="60" t="e">
        <f t="shared" si="236"/>
        <v>#NUM!</v>
      </c>
      <c r="AQ237" s="51" t="e">
        <f t="shared" si="237"/>
        <v>#NUM!</v>
      </c>
      <c r="AR237" s="63" t="e">
        <f t="shared" si="238"/>
        <v>#NUM!</v>
      </c>
      <c r="AS237" s="32" t="str">
        <f t="shared" si="214"/>
        <v>-0.000170731707317073</v>
      </c>
      <c r="AT237" s="32" t="str">
        <f t="shared" si="215"/>
        <v>0.000369797069291726i</v>
      </c>
      <c r="AU237" s="32">
        <f t="shared" si="239"/>
        <v>3.69797069291726E-4</v>
      </c>
      <c r="AV237" s="32">
        <f t="shared" si="240"/>
        <v>1.5707963267948966</v>
      </c>
      <c r="AW237" s="32" t="str">
        <f t="shared" si="216"/>
        <v>1+0.0787329715949086i</v>
      </c>
      <c r="AX237" s="32">
        <f t="shared" si="241"/>
        <v>1.0030946519726662</v>
      </c>
      <c r="AY237" s="32">
        <f t="shared" si="242"/>
        <v>7.8570888573437983E-2</v>
      </c>
      <c r="AZ237" s="32" t="str">
        <f t="shared" si="217"/>
        <v>1+1.49592646030327i</v>
      </c>
      <c r="BA237" s="32">
        <f t="shared" si="243"/>
        <v>1.7993876665786812</v>
      </c>
      <c r="BB237" s="32">
        <f t="shared" si="244"/>
        <v>0.98153796613342581</v>
      </c>
      <c r="BC237" s="60" t="str">
        <f t="shared" si="245"/>
        <v>-0.650273471143731+0.512888228812946i</v>
      </c>
      <c r="BD237" s="51">
        <f t="shared" si="246"/>
        <v>-1.6373291449379035</v>
      </c>
      <c r="BE237" s="63">
        <f t="shared" si="247"/>
        <v>141.73620258344937</v>
      </c>
      <c r="BF237" s="60" t="str">
        <f t="shared" si="248"/>
        <v>1.7564401182141+3.1844852941509i</v>
      </c>
      <c r="BG237" s="66">
        <f t="shared" si="249"/>
        <v>11.214294534672467</v>
      </c>
      <c r="BH237" s="63">
        <f t="shared" si="250"/>
        <v>61.12055387188969</v>
      </c>
      <c r="BI237" s="60" t="e">
        <f t="shared" si="203"/>
        <v>#NUM!</v>
      </c>
      <c r="BJ237" s="66" t="e">
        <f t="shared" si="251"/>
        <v>#NUM!</v>
      </c>
      <c r="BK237" s="63" t="e">
        <f t="shared" si="204"/>
        <v>#NUM!</v>
      </c>
      <c r="BL237" s="51">
        <f t="shared" si="252"/>
        <v>11.214294534672467</v>
      </c>
      <c r="BM237" s="63">
        <f t="shared" si="253"/>
        <v>61.12055387188969</v>
      </c>
    </row>
    <row r="238" spans="14:65" x14ac:dyDescent="0.3">
      <c r="N238" s="11">
        <v>20</v>
      </c>
      <c r="O238" s="52">
        <f t="shared" si="254"/>
        <v>1584.8931924611156</v>
      </c>
      <c r="P238" s="50" t="str">
        <f t="shared" si="206"/>
        <v>23.3035714285714</v>
      </c>
      <c r="Q238" s="18" t="str">
        <f t="shared" si="207"/>
        <v>1+5.33473801088604i</v>
      </c>
      <c r="R238" s="18">
        <f t="shared" si="218"/>
        <v>5.4276541567045653</v>
      </c>
      <c r="S238" s="18">
        <f t="shared" si="219"/>
        <v>1.3854960706943968</v>
      </c>
      <c r="T238" s="18" t="str">
        <f t="shared" si="208"/>
        <v>1+0.00995817762032063i</v>
      </c>
      <c r="U238" s="18">
        <f t="shared" si="220"/>
        <v>1.0000495814216002</v>
      </c>
      <c r="V238" s="18">
        <f t="shared" si="221"/>
        <v>9.9578484713424079E-3</v>
      </c>
      <c r="W238" s="32" t="str">
        <f t="shared" si="209"/>
        <v>1-0.0243422119607838i</v>
      </c>
      <c r="X238" s="18">
        <f t="shared" si="222"/>
        <v>1.0002962277661271</v>
      </c>
      <c r="Y238" s="18">
        <f t="shared" si="223"/>
        <v>-2.433740573134276E-2</v>
      </c>
      <c r="Z238" s="32" t="str">
        <f t="shared" si="210"/>
        <v>0.999989952454274+0.0119470746455392i</v>
      </c>
      <c r="AA238" s="18">
        <f t="shared" si="224"/>
        <v>1.0000613169211612</v>
      </c>
      <c r="AB238" s="18">
        <f t="shared" si="225"/>
        <v>1.1946626304753712E-2</v>
      </c>
      <c r="AC238" s="68" t="str">
        <f t="shared" si="226"/>
        <v>0.679875365852433-4.24055470543711i</v>
      </c>
      <c r="AD238" s="66">
        <f t="shared" si="227"/>
        <v>12.65867704299788</v>
      </c>
      <c r="AE238" s="63">
        <f t="shared" si="228"/>
        <v>-80.89145659169516</v>
      </c>
      <c r="AF238" s="51" t="e">
        <f t="shared" si="229"/>
        <v>#NUM!</v>
      </c>
      <c r="AG238" s="51" t="str">
        <f t="shared" si="211"/>
        <v>1-7.46863321524049i</v>
      </c>
      <c r="AH238" s="51">
        <f t="shared" si="230"/>
        <v>7.5352824833441714</v>
      </c>
      <c r="AI238" s="51">
        <f t="shared" si="231"/>
        <v>-1.4376946424396375</v>
      </c>
      <c r="AJ238" s="51" t="str">
        <f t="shared" si="212"/>
        <v>1+0.00995817762032063i</v>
      </c>
      <c r="AK238" s="51">
        <f t="shared" si="232"/>
        <v>1.0000495814216002</v>
      </c>
      <c r="AL238" s="51">
        <f t="shared" si="233"/>
        <v>9.9578484713424079E-3</v>
      </c>
      <c r="AM238" s="51" t="e">
        <f t="shared" si="213"/>
        <v>#NUM!</v>
      </c>
      <c r="AN238" s="51" t="e">
        <f t="shared" si="234"/>
        <v>#NUM!</v>
      </c>
      <c r="AO238" s="51" t="e">
        <f t="shared" si="235"/>
        <v>#NUM!</v>
      </c>
      <c r="AP238" s="60" t="e">
        <f t="shared" si="236"/>
        <v>#NUM!</v>
      </c>
      <c r="AQ238" s="51" t="e">
        <f t="shared" si="237"/>
        <v>#NUM!</v>
      </c>
      <c r="AR238" s="63" t="e">
        <f t="shared" si="238"/>
        <v>#NUM!</v>
      </c>
      <c r="AS238" s="32" t="str">
        <f t="shared" si="214"/>
        <v>-0.000170731707317073</v>
      </c>
      <c r="AT238" s="32" t="str">
        <f t="shared" si="215"/>
        <v>0.000378410749572184i</v>
      </c>
      <c r="AU238" s="32">
        <f t="shared" si="239"/>
        <v>3.7841074957218398E-4</v>
      </c>
      <c r="AV238" s="32">
        <f t="shared" si="240"/>
        <v>1.5707963267948966</v>
      </c>
      <c r="AW238" s="32" t="str">
        <f t="shared" si="216"/>
        <v>1+0.0805668980945097i</v>
      </c>
      <c r="AX238" s="32">
        <f t="shared" si="241"/>
        <v>1.0032402628825117</v>
      </c>
      <c r="AY238" s="32">
        <f t="shared" si="242"/>
        <v>8.0393253289076649E-2</v>
      </c>
      <c r="AZ238" s="32" t="str">
        <f t="shared" si="217"/>
        <v>1+1.53077106379569i</v>
      </c>
      <c r="BA238" s="32">
        <f t="shared" si="243"/>
        <v>1.8284583806458892</v>
      </c>
      <c r="BB238" s="32">
        <f t="shared" si="244"/>
        <v>0.99212888953742551</v>
      </c>
      <c r="BC238" s="60" t="str">
        <f t="shared" si="245"/>
        <v>-0.650084722657798+0.50355622216999i</v>
      </c>
      <c r="BD238" s="51">
        <f t="shared" si="246"/>
        <v>-1.6993831121833891</v>
      </c>
      <c r="BE238" s="63">
        <f t="shared" si="247"/>
        <v>142.23860398870525</v>
      </c>
      <c r="BF238" s="60" t="str">
        <f t="shared" si="248"/>
        <v>1.69338111872304+3.0990753003744i</v>
      </c>
      <c r="BG238" s="66">
        <f t="shared" si="249"/>
        <v>10.959293930814502</v>
      </c>
      <c r="BH238" s="63">
        <f t="shared" si="250"/>
        <v>61.347147397010069</v>
      </c>
      <c r="BI238" s="60" t="e">
        <f t="shared" si="203"/>
        <v>#NUM!</v>
      </c>
      <c r="BJ238" s="66" t="e">
        <f t="shared" si="251"/>
        <v>#NUM!</v>
      </c>
      <c r="BK238" s="63" t="e">
        <f t="shared" si="204"/>
        <v>#NUM!</v>
      </c>
      <c r="BL238" s="51">
        <f t="shared" si="252"/>
        <v>10.959293930814502</v>
      </c>
      <c r="BM238" s="63">
        <f t="shared" si="253"/>
        <v>61.347147397010069</v>
      </c>
    </row>
    <row r="239" spans="14:65" x14ac:dyDescent="0.3">
      <c r="N239" s="11">
        <v>21</v>
      </c>
      <c r="O239" s="52">
        <f t="shared" si="254"/>
        <v>1621.8100973589308</v>
      </c>
      <c r="P239" s="50" t="str">
        <f t="shared" si="206"/>
        <v>23.3035714285714</v>
      </c>
      <c r="Q239" s="18" t="str">
        <f t="shared" si="207"/>
        <v>1+5.45900002219344i</v>
      </c>
      <c r="R239" s="18">
        <f t="shared" si="218"/>
        <v>5.5498361455369096</v>
      </c>
      <c r="S239" s="18">
        <f t="shared" si="219"/>
        <v>1.3896212922870466</v>
      </c>
      <c r="T239" s="18" t="str">
        <f t="shared" si="208"/>
        <v>1+0.0101901333747611i</v>
      </c>
      <c r="U239" s="18">
        <f t="shared" si="220"/>
        <v>1.0000519180613552</v>
      </c>
      <c r="V239" s="18">
        <f t="shared" si="221"/>
        <v>1.0189780686265529E-2</v>
      </c>
      <c r="W239" s="32" t="str">
        <f t="shared" si="209"/>
        <v>1-0.0249092149160827i</v>
      </c>
      <c r="X239" s="18">
        <f t="shared" si="222"/>
        <v>1.0003101863860708</v>
      </c>
      <c r="Y239" s="18">
        <f t="shared" si="223"/>
        <v>-2.490406503469705E-2</v>
      </c>
      <c r="Z239" s="32" t="str">
        <f t="shared" si="210"/>
        <v>0.999989478928032+0.0122253577630353i</v>
      </c>
      <c r="AA239" s="18">
        <f t="shared" si="224"/>
        <v>1.0000642066083512</v>
      </c>
      <c r="AB239" s="18">
        <f t="shared" si="225"/>
        <v>1.2224877358881945E-2</v>
      </c>
      <c r="AC239" s="68" t="str">
        <f t="shared" si="226"/>
        <v>0.645258631150607-4.15035662123474i</v>
      </c>
      <c r="AD239" s="66">
        <f t="shared" si="227"/>
        <v>12.465433567229294</v>
      </c>
      <c r="AE239" s="63">
        <f t="shared" si="228"/>
        <v>-81.162935439012657</v>
      </c>
      <c r="AF239" s="51" t="e">
        <f t="shared" si="229"/>
        <v>#NUM!</v>
      </c>
      <c r="AG239" s="51" t="str">
        <f t="shared" si="211"/>
        <v>1-7.64260003107084i</v>
      </c>
      <c r="AH239" s="51">
        <f t="shared" si="230"/>
        <v>7.7077451459505317</v>
      </c>
      <c r="AI239" s="51">
        <f t="shared" si="231"/>
        <v>-1.4406899414269729</v>
      </c>
      <c r="AJ239" s="51" t="str">
        <f t="shared" si="212"/>
        <v>1+0.0101901333747611i</v>
      </c>
      <c r="AK239" s="51">
        <f t="shared" si="232"/>
        <v>1.0000519180613552</v>
      </c>
      <c r="AL239" s="51">
        <f t="shared" si="233"/>
        <v>1.0189780686265529E-2</v>
      </c>
      <c r="AM239" s="51" t="e">
        <f t="shared" si="213"/>
        <v>#NUM!</v>
      </c>
      <c r="AN239" s="51" t="e">
        <f t="shared" si="234"/>
        <v>#NUM!</v>
      </c>
      <c r="AO239" s="51" t="e">
        <f t="shared" si="235"/>
        <v>#NUM!</v>
      </c>
      <c r="AP239" s="60" t="e">
        <f t="shared" si="236"/>
        <v>#NUM!</v>
      </c>
      <c r="AQ239" s="51" t="e">
        <f t="shared" si="237"/>
        <v>#NUM!</v>
      </c>
      <c r="AR239" s="63" t="e">
        <f t="shared" si="238"/>
        <v>#NUM!</v>
      </c>
      <c r="AS239" s="32" t="str">
        <f t="shared" si="214"/>
        <v>-0.000170731707317073</v>
      </c>
      <c r="AT239" s="32" t="str">
        <f t="shared" si="215"/>
        <v>0.000387225068240923i</v>
      </c>
      <c r="AU239" s="32">
        <f t="shared" si="239"/>
        <v>3.87225068240923E-4</v>
      </c>
      <c r="AV239" s="32">
        <f t="shared" si="240"/>
        <v>1.5707963267948966</v>
      </c>
      <c r="AW239" s="32" t="str">
        <f t="shared" si="216"/>
        <v>1+0.0824435422299092i</v>
      </c>
      <c r="AX239" s="32">
        <f t="shared" si="241"/>
        <v>1.0033927135750065</v>
      </c>
      <c r="AY239" s="32">
        <f t="shared" si="242"/>
        <v>8.225751243018721E-2</v>
      </c>
      <c r="AZ239" s="32" t="str">
        <f t="shared" si="217"/>
        <v>1+1.56642730236828i</v>
      </c>
      <c r="BA239" s="32">
        <f t="shared" si="243"/>
        <v>1.8584118202391975</v>
      </c>
      <c r="BB239" s="32">
        <f t="shared" si="244"/>
        <v>1.0026222951062713</v>
      </c>
      <c r="BC239" s="60" t="str">
        <f t="shared" si="245"/>
        <v>-0.649887196134087+0.494489783644266i</v>
      </c>
      <c r="BD239" s="51">
        <f t="shared" si="246"/>
        <v>-1.7595653108480236</v>
      </c>
      <c r="BE239" s="63">
        <f t="shared" si="247"/>
        <v>142.73301765981481</v>
      </c>
      <c r="BF239" s="60" t="str">
        <f t="shared" si="248"/>
        <v>1.63296362510113+3.01633742844305i</v>
      </c>
      <c r="BG239" s="66">
        <f t="shared" si="249"/>
        <v>10.705868256381281</v>
      </c>
      <c r="BH239" s="63">
        <f t="shared" si="250"/>
        <v>61.570082220802128</v>
      </c>
      <c r="BI239" s="60" t="e">
        <f t="shared" si="203"/>
        <v>#NUM!</v>
      </c>
      <c r="BJ239" s="66" t="e">
        <f t="shared" si="251"/>
        <v>#NUM!</v>
      </c>
      <c r="BK239" s="63" t="e">
        <f t="shared" si="204"/>
        <v>#NUM!</v>
      </c>
      <c r="BL239" s="51">
        <f t="shared" si="252"/>
        <v>10.705868256381281</v>
      </c>
      <c r="BM239" s="63">
        <f t="shared" si="253"/>
        <v>61.570082220802128</v>
      </c>
    </row>
    <row r="240" spans="14:65" x14ac:dyDescent="0.3">
      <c r="N240" s="11">
        <v>22</v>
      </c>
      <c r="O240" s="52">
        <f t="shared" si="254"/>
        <v>1659.5869074375626</v>
      </c>
      <c r="P240" s="50" t="str">
        <f t="shared" si="206"/>
        <v>23.3035714285714</v>
      </c>
      <c r="Q240" s="18" t="str">
        <f t="shared" si="207"/>
        <v>1+5.58615646757104i</v>
      </c>
      <c r="R240" s="18">
        <f t="shared" si="218"/>
        <v>5.6749576280520158</v>
      </c>
      <c r="S240" s="18">
        <f t="shared" si="219"/>
        <v>1.3936586457646327</v>
      </c>
      <c r="T240" s="18" t="str">
        <f t="shared" si="208"/>
        <v>1+0.0104274920727993i</v>
      </c>
      <c r="U240" s="18">
        <f t="shared" si="220"/>
        <v>1.0000543648176974</v>
      </c>
      <c r="V240" s="18">
        <f t="shared" si="221"/>
        <v>1.0427114161377113E-2</v>
      </c>
      <c r="W240" s="32" t="str">
        <f t="shared" si="209"/>
        <v>1-0.0254894250668427i</v>
      </c>
      <c r="X240" s="18">
        <f t="shared" si="222"/>
        <v>1.0003248026467393</v>
      </c>
      <c r="Y240" s="18">
        <f t="shared" si="223"/>
        <v>-2.5483906966283748E-2</v>
      </c>
      <c r="Z240" s="32" t="str">
        <f t="shared" si="210"/>
        <v>0.999988983085187+0.0125101229270391i</v>
      </c>
      <c r="AA240" s="18">
        <f t="shared" si="224"/>
        <v>1.0000672324735953</v>
      </c>
      <c r="AB240" s="18">
        <f t="shared" si="225"/>
        <v>1.2509608166569822E-2</v>
      </c>
      <c r="AC240" s="68" t="str">
        <f t="shared" si="226"/>
        <v>0.612100879650281-4.06180588288609i</v>
      </c>
      <c r="AD240" s="66">
        <f t="shared" si="227"/>
        <v>12.271906210455327</v>
      </c>
      <c r="AE240" s="63">
        <f t="shared" si="228"/>
        <v>-81.430196916262233</v>
      </c>
      <c r="AF240" s="51" t="e">
        <f t="shared" si="229"/>
        <v>#NUM!</v>
      </c>
      <c r="AG240" s="51" t="str">
        <f t="shared" si="211"/>
        <v>1-7.82061905459949i</v>
      </c>
      <c r="AH240" s="51">
        <f t="shared" si="230"/>
        <v>7.8842933987241119</v>
      </c>
      <c r="AI240" s="51">
        <f t="shared" si="231"/>
        <v>-1.4436193295195092</v>
      </c>
      <c r="AJ240" s="51" t="str">
        <f t="shared" si="212"/>
        <v>1+0.0104274920727993i</v>
      </c>
      <c r="AK240" s="51">
        <f t="shared" si="232"/>
        <v>1.0000543648176974</v>
      </c>
      <c r="AL240" s="51">
        <f t="shared" si="233"/>
        <v>1.0427114161377113E-2</v>
      </c>
      <c r="AM240" s="51" t="e">
        <f t="shared" si="213"/>
        <v>#NUM!</v>
      </c>
      <c r="AN240" s="51" t="e">
        <f t="shared" si="234"/>
        <v>#NUM!</v>
      </c>
      <c r="AO240" s="51" t="e">
        <f t="shared" si="235"/>
        <v>#NUM!</v>
      </c>
      <c r="AP240" s="60" t="e">
        <f t="shared" si="236"/>
        <v>#NUM!</v>
      </c>
      <c r="AQ240" s="51" t="e">
        <f t="shared" si="237"/>
        <v>#NUM!</v>
      </c>
      <c r="AR240" s="63" t="e">
        <f t="shared" si="238"/>
        <v>#NUM!</v>
      </c>
      <c r="AS240" s="32" t="str">
        <f t="shared" si="214"/>
        <v>-0.000170731707317073</v>
      </c>
      <c r="AT240" s="32" t="str">
        <f t="shared" si="215"/>
        <v>0.000396244698766373i</v>
      </c>
      <c r="AU240" s="32">
        <f t="shared" si="239"/>
        <v>3.9624469876637302E-4</v>
      </c>
      <c r="AV240" s="32">
        <f t="shared" si="240"/>
        <v>1.5707963267948966</v>
      </c>
      <c r="AW240" s="32" t="str">
        <f t="shared" si="216"/>
        <v>1+0.0843638990226687i</v>
      </c>
      <c r="AX240" s="32">
        <f t="shared" si="241"/>
        <v>1.0035523242254523</v>
      </c>
      <c r="AY240" s="32">
        <f t="shared" si="242"/>
        <v>8.4164602589469992E-2</v>
      </c>
      <c r="AZ240" s="32" t="str">
        <f t="shared" si="217"/>
        <v>1+1.60291408143071i</v>
      </c>
      <c r="BA240" s="32">
        <f t="shared" si="243"/>
        <v>1.8892679938137038</v>
      </c>
      <c r="BB240" s="32">
        <f t="shared" si="244"/>
        <v>1.0130145028005983</v>
      </c>
      <c r="BC240" s="60" t="str">
        <f t="shared" si="245"/>
        <v>-0.649680489085996+0.485684005633949i</v>
      </c>
      <c r="BD240" s="51">
        <f t="shared" si="246"/>
        <v>-1.8179147110196863</v>
      </c>
      <c r="BE240" s="63">
        <f t="shared" si="247"/>
        <v>143.21917908324536</v>
      </c>
      <c r="BF240" s="60" t="str">
        <f t="shared" si="248"/>
        <v>1.57508415244649+2.93616363964642i</v>
      </c>
      <c r="BG240" s="66">
        <f t="shared" si="249"/>
        <v>10.453991499435634</v>
      </c>
      <c r="BH240" s="63">
        <f t="shared" si="250"/>
        <v>61.788982166983146</v>
      </c>
      <c r="BI240" s="60" t="e">
        <f t="shared" si="203"/>
        <v>#NUM!</v>
      </c>
      <c r="BJ240" s="66" t="e">
        <f t="shared" si="251"/>
        <v>#NUM!</v>
      </c>
      <c r="BK240" s="63" t="e">
        <f t="shared" si="204"/>
        <v>#NUM!</v>
      </c>
      <c r="BL240" s="51">
        <f t="shared" si="252"/>
        <v>10.453991499435634</v>
      </c>
      <c r="BM240" s="63">
        <f t="shared" si="253"/>
        <v>61.788982166983146</v>
      </c>
    </row>
    <row r="241" spans="14:65" x14ac:dyDescent="0.3">
      <c r="N241" s="11">
        <v>23</v>
      </c>
      <c r="O241" s="52">
        <f t="shared" si="254"/>
        <v>1698.2436524617447</v>
      </c>
      <c r="P241" s="50" t="str">
        <f t="shared" si="206"/>
        <v>23.3035714285714</v>
      </c>
      <c r="Q241" s="18" t="str">
        <f t="shared" si="207"/>
        <v>1+5.71627476704924i</v>
      </c>
      <c r="R241" s="18">
        <f t="shared" si="218"/>
        <v>5.8030851460584181</v>
      </c>
      <c r="S241" s="18">
        <f t="shared" si="219"/>
        <v>1.3976097450477909</v>
      </c>
      <c r="T241" s="18" t="str">
        <f t="shared" si="208"/>
        <v>1+0.0106703795651586i</v>
      </c>
      <c r="U241" s="18">
        <f t="shared" si="220"/>
        <v>1.0000569268796975</v>
      </c>
      <c r="V241" s="18">
        <f t="shared" si="221"/>
        <v>1.0669974627018984E-2</v>
      </c>
      <c r="W241" s="32" t="str">
        <f t="shared" si="209"/>
        <v>1-0.0260831500481655i</v>
      </c>
      <c r="X241" s="18">
        <f t="shared" si="222"/>
        <v>1.0003401075216545</v>
      </c>
      <c r="Y241" s="18">
        <f t="shared" si="223"/>
        <v>-2.6077237405456324E-2</v>
      </c>
      <c r="Z241" s="32" t="str">
        <f t="shared" si="210"/>
        <v>0.999988463873988+0.0128015211238099i</v>
      </c>
      <c r="AA241" s="18">
        <f t="shared" si="224"/>
        <v>1.000070400933925</v>
      </c>
      <c r="AB241" s="18">
        <f t="shared" si="225"/>
        <v>1.2800969550111235E-2</v>
      </c>
      <c r="AC241" s="68" t="str">
        <f t="shared" si="226"/>
        <v>0.580344763414554-3.97489019380534i</v>
      </c>
      <c r="AD241" s="66">
        <f t="shared" si="227"/>
        <v>12.078107444436606</v>
      </c>
      <c r="AE241" s="63">
        <f t="shared" si="228"/>
        <v>-81.693352457543767</v>
      </c>
      <c r="AF241" s="51" t="e">
        <f t="shared" si="229"/>
        <v>#NUM!</v>
      </c>
      <c r="AG241" s="51" t="str">
        <f t="shared" si="211"/>
        <v>1-8.00278467386897i</v>
      </c>
      <c r="AH241" s="51">
        <f t="shared" si="230"/>
        <v>8.065020925968641</v>
      </c>
      <c r="AI241" s="51">
        <f t="shared" si="231"/>
        <v>-1.4464841587066815</v>
      </c>
      <c r="AJ241" s="51" t="str">
        <f t="shared" si="212"/>
        <v>1+0.0106703795651586i</v>
      </c>
      <c r="AK241" s="51">
        <f t="shared" si="232"/>
        <v>1.0000569268796975</v>
      </c>
      <c r="AL241" s="51">
        <f t="shared" si="233"/>
        <v>1.0669974627018984E-2</v>
      </c>
      <c r="AM241" s="51" t="e">
        <f t="shared" si="213"/>
        <v>#NUM!</v>
      </c>
      <c r="AN241" s="51" t="e">
        <f t="shared" si="234"/>
        <v>#NUM!</v>
      </c>
      <c r="AO241" s="51" t="e">
        <f t="shared" si="235"/>
        <v>#NUM!</v>
      </c>
      <c r="AP241" s="60" t="e">
        <f t="shared" si="236"/>
        <v>#NUM!</v>
      </c>
      <c r="AQ241" s="51" t="e">
        <f t="shared" si="237"/>
        <v>#NUM!</v>
      </c>
      <c r="AR241" s="63" t="e">
        <f t="shared" si="238"/>
        <v>#NUM!</v>
      </c>
      <c r="AS241" s="32" t="str">
        <f t="shared" si="214"/>
        <v>-0.000170731707317073</v>
      </c>
      <c r="AT241" s="32" t="str">
        <f t="shared" si="215"/>
        <v>0.000405474423476028i</v>
      </c>
      <c r="AU241" s="32">
        <f t="shared" si="239"/>
        <v>4.0547442347602802E-4</v>
      </c>
      <c r="AV241" s="32">
        <f t="shared" si="240"/>
        <v>1.5707963267948966</v>
      </c>
      <c r="AW241" s="32" t="str">
        <f t="shared" si="216"/>
        <v>1+0.0863289866713778i</v>
      </c>
      <c r="AX241" s="32">
        <f t="shared" si="241"/>
        <v>1.0037194298904983</v>
      </c>
      <c r="AY241" s="32">
        <f t="shared" si="242"/>
        <v>8.6115479411914941E-2</v>
      </c>
      <c r="AZ241" s="32" t="str">
        <f t="shared" si="217"/>
        <v>1+1.64025074675618i</v>
      </c>
      <c r="BA241" s="32">
        <f t="shared" si="243"/>
        <v>1.9210472436236974</v>
      </c>
      <c r="BB241" s="32">
        <f t="shared" si="244"/>
        <v>1.0233020436985427</v>
      </c>
      <c r="BC241" s="60" t="str">
        <f t="shared" si="245"/>
        <v>-0.649464181122553+0.477134111726165i</v>
      </c>
      <c r="BD241" s="51">
        <f t="shared" si="246"/>
        <v>-1.8744713499099053</v>
      </c>
      <c r="BE241" s="63">
        <f t="shared" si="247"/>
        <v>143.69683474998973</v>
      </c>
      <c r="BF241" s="60" t="str">
        <f t="shared" si="248"/>
        <v>1.51964256529056+2.85845108795859i</v>
      </c>
      <c r="BG241" s="66">
        <f t="shared" si="249"/>
        <v>10.203636094526709</v>
      </c>
      <c r="BH241" s="63">
        <f t="shared" si="250"/>
        <v>62.003482292446002</v>
      </c>
      <c r="BI241" s="60" t="e">
        <f t="shared" si="203"/>
        <v>#NUM!</v>
      </c>
      <c r="BJ241" s="66" t="e">
        <f t="shared" si="251"/>
        <v>#NUM!</v>
      </c>
      <c r="BK241" s="63" t="e">
        <f t="shared" si="204"/>
        <v>#NUM!</v>
      </c>
      <c r="BL241" s="51">
        <f t="shared" si="252"/>
        <v>10.203636094526709</v>
      </c>
      <c r="BM241" s="63">
        <f t="shared" si="253"/>
        <v>62.003482292446002</v>
      </c>
    </row>
    <row r="242" spans="14:65" x14ac:dyDescent="0.3">
      <c r="N242" s="11">
        <v>24</v>
      </c>
      <c r="O242" s="52">
        <f t="shared" si="254"/>
        <v>1737.8008287493772</v>
      </c>
      <c r="P242" s="50" t="str">
        <f t="shared" si="206"/>
        <v>23.3035714285714</v>
      </c>
      <c r="Q242" s="18" t="str">
        <f t="shared" si="207"/>
        <v>1+5.84942391107281i</v>
      </c>
      <c r="R242" s="18">
        <f t="shared" si="218"/>
        <v>5.93428682247752</v>
      </c>
      <c r="S242" s="18">
        <f t="shared" si="219"/>
        <v>1.4014761913659708</v>
      </c>
      <c r="T242" s="18" t="str">
        <f t="shared" si="208"/>
        <v>1+0.0109189246340026i</v>
      </c>
      <c r="U242" s="18">
        <f t="shared" si="220"/>
        <v>1.0000596096809244</v>
      </c>
      <c r="V242" s="18">
        <f t="shared" si="221"/>
        <v>1.0918490736365399E-2</v>
      </c>
      <c r="W242" s="32" t="str">
        <f t="shared" si="209"/>
        <v>1-0.0266907046608953i</v>
      </c>
      <c r="X242" s="18">
        <f t="shared" si="222"/>
        <v>1.0003561334421331</v>
      </c>
      <c r="Y242" s="18">
        <f t="shared" si="223"/>
        <v>-2.6684369271897282E-2</v>
      </c>
      <c r="Z242" s="32" t="str">
        <f t="shared" si="210"/>
        <v>0.999987920193118+0.0130997068565288i</v>
      </c>
      <c r="AA242" s="18">
        <f t="shared" si="224"/>
        <v>1.0000737187087185</v>
      </c>
      <c r="AB242" s="18">
        <f t="shared" si="225"/>
        <v>1.3099115836998163E-2</v>
      </c>
      <c r="AC242" s="68" t="str">
        <f t="shared" si="226"/>
        <v>0.549934833116146-3.88959604670261i</v>
      </c>
      <c r="AD242" s="66">
        <f t="shared" si="227"/>
        <v>11.884049271424708</v>
      </c>
      <c r="AE242" s="63">
        <f t="shared" si="228"/>
        <v>-81.952513206553888</v>
      </c>
      <c r="AF242" s="51" t="e">
        <f t="shared" si="229"/>
        <v>#NUM!</v>
      </c>
      <c r="AG242" s="51" t="str">
        <f t="shared" si="211"/>
        <v>1-8.18919347550197i</v>
      </c>
      <c r="AH242" s="51">
        <f t="shared" si="230"/>
        <v>8.2500236229482411</v>
      </c>
      <c r="AI242" s="51">
        <f t="shared" si="231"/>
        <v>-1.44928575975964</v>
      </c>
      <c r="AJ242" s="51" t="str">
        <f t="shared" si="212"/>
        <v>1+0.0109189246340026i</v>
      </c>
      <c r="AK242" s="51">
        <f t="shared" si="232"/>
        <v>1.0000596096809244</v>
      </c>
      <c r="AL242" s="51">
        <f t="shared" si="233"/>
        <v>1.0918490736365399E-2</v>
      </c>
      <c r="AM242" s="51" t="e">
        <f t="shared" si="213"/>
        <v>#NUM!</v>
      </c>
      <c r="AN242" s="51" t="e">
        <f t="shared" si="234"/>
        <v>#NUM!</v>
      </c>
      <c r="AO242" s="51" t="e">
        <f t="shared" si="235"/>
        <v>#NUM!</v>
      </c>
      <c r="AP242" s="60" t="e">
        <f t="shared" si="236"/>
        <v>#NUM!</v>
      </c>
      <c r="AQ242" s="51" t="e">
        <f t="shared" si="237"/>
        <v>#NUM!</v>
      </c>
      <c r="AR242" s="63" t="e">
        <f t="shared" si="238"/>
        <v>#NUM!</v>
      </c>
      <c r="AS242" s="32" t="str">
        <f t="shared" si="214"/>
        <v>-0.000170731707317073</v>
      </c>
      <c r="AT242" s="32" t="str">
        <f t="shared" si="215"/>
        <v>0.000414919136092099i</v>
      </c>
      <c r="AU242" s="32">
        <f t="shared" si="239"/>
        <v>4.1491913609209899E-4</v>
      </c>
      <c r="AV242" s="32">
        <f t="shared" si="240"/>
        <v>1.5707963267948966</v>
      </c>
      <c r="AW242" s="32" t="str">
        <f t="shared" si="216"/>
        <v>1+0.0883398470915199i</v>
      </c>
      <c r="AX242" s="32">
        <f t="shared" si="241"/>
        <v>1.0038943811896515</v>
      </c>
      <c r="AY242" s="32">
        <f t="shared" si="242"/>
        <v>8.8111117846188955E-2</v>
      </c>
      <c r="AZ242" s="32" t="str">
        <f t="shared" si="217"/>
        <v>1+1.67845709473888i</v>
      </c>
      <c r="BA242" s="32">
        <f t="shared" si="243"/>
        <v>1.9537702574456601</v>
      </c>
      <c r="BB242" s="32">
        <f t="shared" si="244"/>
        <v>1.0334816618656042</v>
      </c>
      <c r="BC242" s="60" t="str">
        <f t="shared" si="245"/>
        <v>-0.649237833204803+0.468835453682773i</v>
      </c>
      <c r="BD242" s="51">
        <f t="shared" si="246"/>
        <v>-1.9292762236712966</v>
      </c>
      <c r="BE242" s="63">
        <f t="shared" si="247"/>
        <v>144.16574224829918</v>
      </c>
      <c r="BF242" s="60" t="str">
        <f t="shared" si="248"/>
        <v>1.46654202774237+2.78310185638314i</v>
      </c>
      <c r="BG242" s="66">
        <f t="shared" si="249"/>
        <v>9.9547730477534184</v>
      </c>
      <c r="BH242" s="63">
        <f t="shared" si="250"/>
        <v>62.213229041745258</v>
      </c>
      <c r="BI242" s="60" t="e">
        <f t="shared" ref="BI242:BI305" si="255">IMPRODUCT(AP242,BC242)</f>
        <v>#NUM!</v>
      </c>
      <c r="BJ242" s="66" t="e">
        <f t="shared" si="251"/>
        <v>#NUM!</v>
      </c>
      <c r="BK242" s="63" t="e">
        <f t="shared" ref="BK242:BK305" si="256">(180/PI())*IMARGUMENT(BI242)</f>
        <v>#NUM!</v>
      </c>
      <c r="BL242" s="51">
        <f t="shared" si="252"/>
        <v>9.9547730477534184</v>
      </c>
      <c r="BM242" s="63">
        <f t="shared" si="253"/>
        <v>62.213229041745258</v>
      </c>
    </row>
    <row r="243" spans="14:65" x14ac:dyDescent="0.3">
      <c r="N243" s="11">
        <v>25</v>
      </c>
      <c r="O243" s="52">
        <f t="shared" si="254"/>
        <v>1778.2794100389244</v>
      </c>
      <c r="P243" s="50" t="str">
        <f t="shared" si="206"/>
        <v>23.3035714285714</v>
      </c>
      <c r="Q243" s="18" t="str">
        <f t="shared" si="207"/>
        <v>1+5.98567449708031i</v>
      </c>
      <c r="R243" s="18">
        <f t="shared" si="218"/>
        <v>6.0686323982424257</v>
      </c>
      <c r="S243" s="18">
        <f t="shared" si="219"/>
        <v>1.405259572120485</v>
      </c>
      <c r="T243" s="18" t="str">
        <f t="shared" si="208"/>
        <v>1+0.0111732590612166i</v>
      </c>
      <c r="U243" s="18">
        <f t="shared" si="220"/>
        <v>1.0000624189109644</v>
      </c>
      <c r="V243" s="18">
        <f t="shared" si="221"/>
        <v>1.117279413308909E-2</v>
      </c>
      <c r="W243" s="32" t="str">
        <f t="shared" si="209"/>
        <v>1-0.0273124110385295i</v>
      </c>
      <c r="X243" s="18">
        <f t="shared" si="222"/>
        <v>1.0003729143658067</v>
      </c>
      <c r="Y243" s="18">
        <f t="shared" si="223"/>
        <v>-2.7305622683578414E-2</v>
      </c>
      <c r="Z243" s="32" t="str">
        <f t="shared" si="210"/>
        <v>0.999987350889359+0.0134048382272181i</v>
      </c>
      <c r="AA243" s="18">
        <f t="shared" si="224"/>
        <v>1.0000771928339411</v>
      </c>
      <c r="AB243" s="18">
        <f t="shared" si="225"/>
        <v>1.3404204941001958E-2</v>
      </c>
      <c r="AC243" s="68" t="str">
        <f t="shared" si="226"/>
        <v>0.520817506601898-3.80590883115812i</v>
      </c>
      <c r="AD243" s="66">
        <f t="shared" si="227"/>
        <v>11.689743240812732</v>
      </c>
      <c r="AE243" s="63">
        <f t="shared" si="228"/>
        <v>-82.207789961262719</v>
      </c>
      <c r="AF243" s="51" t="e">
        <f t="shared" si="229"/>
        <v>#NUM!</v>
      </c>
      <c r="AG243" s="51" t="str">
        <f t="shared" si="211"/>
        <v>1-8.37994429591247i</v>
      </c>
      <c r="AH243" s="51">
        <f t="shared" si="230"/>
        <v>8.4393996470481198</v>
      </c>
      <c r="AI243" s="51">
        <f t="shared" si="231"/>
        <v>-1.4520254421127643</v>
      </c>
      <c r="AJ243" s="51" t="str">
        <f t="shared" si="212"/>
        <v>1+0.0111732590612166i</v>
      </c>
      <c r="AK243" s="51">
        <f t="shared" si="232"/>
        <v>1.0000624189109644</v>
      </c>
      <c r="AL243" s="51">
        <f t="shared" si="233"/>
        <v>1.117279413308909E-2</v>
      </c>
      <c r="AM243" s="51" t="e">
        <f t="shared" si="213"/>
        <v>#NUM!</v>
      </c>
      <c r="AN243" s="51" t="e">
        <f t="shared" si="234"/>
        <v>#NUM!</v>
      </c>
      <c r="AO243" s="51" t="e">
        <f t="shared" si="235"/>
        <v>#NUM!</v>
      </c>
      <c r="AP243" s="60" t="e">
        <f t="shared" si="236"/>
        <v>#NUM!</v>
      </c>
      <c r="AQ243" s="51" t="e">
        <f t="shared" si="237"/>
        <v>#NUM!</v>
      </c>
      <c r="AR243" s="63" t="e">
        <f t="shared" si="238"/>
        <v>#NUM!</v>
      </c>
      <c r="AS243" s="32" t="str">
        <f t="shared" si="214"/>
        <v>-0.000170731707317073</v>
      </c>
      <c r="AT243" s="32" t="str">
        <f t="shared" si="215"/>
        <v>0.000424583844326229i</v>
      </c>
      <c r="AU243" s="32">
        <f t="shared" si="239"/>
        <v>4.2458384432622902E-4</v>
      </c>
      <c r="AV243" s="32">
        <f t="shared" si="240"/>
        <v>1.5707963267948966</v>
      </c>
      <c r="AW243" s="32" t="str">
        <f t="shared" si="216"/>
        <v>1+0.090397546467906i</v>
      </c>
      <c r="AX243" s="32">
        <f t="shared" si="241"/>
        <v>1.0040775450170256</v>
      </c>
      <c r="AY243" s="32">
        <f t="shared" si="242"/>
        <v>9.0152512388741585E-2</v>
      </c>
      <c r="AZ243" s="32" t="str">
        <f t="shared" si="217"/>
        <v>1+1.71755338289022i</v>
      </c>
      <c r="BA243" s="32">
        <f t="shared" si="243"/>
        <v>1.9874580808353264</v>
      </c>
      <c r="BB243" s="32">
        <f t="shared" si="244"/>
        <v>1.0435503153227723</v>
      </c>
      <c r="BC243" s="60" t="str">
        <f t="shared" si="245"/>
        <v>-0.64900098687638+0.460783508462094i</v>
      </c>
      <c r="BD243" s="51">
        <f t="shared" si="246"/>
        <v>-1.9823711808517233</v>
      </c>
      <c r="BE243" s="63">
        <f t="shared" si="247"/>
        <v>144.6256703051653</v>
      </c>
      <c r="BF243" s="60" t="str">
        <f t="shared" si="248"/>
        <v>1.41568894834078+2.71002270534365i</v>
      </c>
      <c r="BG243" s="66">
        <f t="shared" si="249"/>
        <v>9.7073720599610027</v>
      </c>
      <c r="BH243" s="63">
        <f t="shared" si="250"/>
        <v>62.41788034390256</v>
      </c>
      <c r="BI243" s="60" t="e">
        <f t="shared" si="255"/>
        <v>#NUM!</v>
      </c>
      <c r="BJ243" s="66" t="e">
        <f t="shared" si="251"/>
        <v>#NUM!</v>
      </c>
      <c r="BK243" s="63" t="e">
        <f t="shared" si="256"/>
        <v>#NUM!</v>
      </c>
      <c r="BL243" s="51">
        <f t="shared" si="252"/>
        <v>9.7073720599610027</v>
      </c>
      <c r="BM243" s="63">
        <f t="shared" si="253"/>
        <v>62.41788034390256</v>
      </c>
    </row>
    <row r="244" spans="14:65" x14ac:dyDescent="0.3">
      <c r="N244" s="11">
        <v>26</v>
      </c>
      <c r="O244" s="52">
        <f t="shared" si="254"/>
        <v>1819.7008586099832</v>
      </c>
      <c r="P244" s="50" t="str">
        <f t="shared" si="206"/>
        <v>23.3035714285714</v>
      </c>
      <c r="Q244" s="18" t="str">
        <f t="shared" si="207"/>
        <v>1+6.12509876693586i</v>
      </c>
      <c r="R244" s="18">
        <f t="shared" si="218"/>
        <v>6.206193270010143</v>
      </c>
      <c r="S244" s="18">
        <f t="shared" si="219"/>
        <v>1.4089614598504347</v>
      </c>
      <c r="T244" s="18" t="str">
        <f t="shared" si="208"/>
        <v>1+0.0114335176982803i</v>
      </c>
      <c r="U244" s="18">
        <f t="shared" si="220"/>
        <v>1.0000653605274792</v>
      </c>
      <c r="V244" s="18">
        <f t="shared" si="221"/>
        <v>1.1433019520574591E-2</v>
      </c>
      <c r="W244" s="32" t="str">
        <f t="shared" si="209"/>
        <v>1-0.0279485988180185i</v>
      </c>
      <c r="X244" s="18">
        <f t="shared" si="222"/>
        <v>1.0003904858483463</v>
      </c>
      <c r="Y244" s="18">
        <f t="shared" si="223"/>
        <v>-2.7941325117972392E-2</v>
      </c>
      <c r="Z244" s="32" t="str">
        <f t="shared" si="210"/>
        <v>0.999986754755141+0.0137170770205693i</v>
      </c>
      <c r="AA244" s="18">
        <f t="shared" si="224"/>
        <v>1.0000808306770541</v>
      </c>
      <c r="AB244" s="18">
        <f t="shared" si="225"/>
        <v>1.3716398445103408E-2</v>
      </c>
      <c r="AC244" s="68" t="str">
        <f t="shared" si="226"/>
        <v>0.492941034846372-3.72381293532179i</v>
      </c>
      <c r="AD244" s="66">
        <f t="shared" si="227"/>
        <v>11.49520046553253</v>
      </c>
      <c r="AE244" s="63">
        <f t="shared" si="228"/>
        <v>-82.459293124688429</v>
      </c>
      <c r="AF244" s="51" t="e">
        <f t="shared" si="229"/>
        <v>#NUM!</v>
      </c>
      <c r="AG244" s="51" t="str">
        <f t="shared" si="211"/>
        <v>1-8.57513827371025i</v>
      </c>
      <c r="AH244" s="51">
        <f t="shared" si="230"/>
        <v>8.6332494701155493</v>
      </c>
      <c r="AI244" s="51">
        <f t="shared" si="231"/>
        <v>-1.4547044937842051</v>
      </c>
      <c r="AJ244" s="51" t="str">
        <f t="shared" si="212"/>
        <v>1+0.0114335176982803i</v>
      </c>
      <c r="AK244" s="51">
        <f t="shared" si="232"/>
        <v>1.0000653605274792</v>
      </c>
      <c r="AL244" s="51">
        <f t="shared" si="233"/>
        <v>1.1433019520574591E-2</v>
      </c>
      <c r="AM244" s="51" t="e">
        <f t="shared" si="213"/>
        <v>#NUM!</v>
      </c>
      <c r="AN244" s="51" t="e">
        <f t="shared" si="234"/>
        <v>#NUM!</v>
      </c>
      <c r="AO244" s="51" t="e">
        <f t="shared" si="235"/>
        <v>#NUM!</v>
      </c>
      <c r="AP244" s="60" t="e">
        <f t="shared" si="236"/>
        <v>#NUM!</v>
      </c>
      <c r="AQ244" s="51" t="e">
        <f t="shared" si="237"/>
        <v>#NUM!</v>
      </c>
      <c r="AR244" s="63" t="e">
        <f t="shared" si="238"/>
        <v>#NUM!</v>
      </c>
      <c r="AS244" s="32" t="str">
        <f t="shared" si="214"/>
        <v>-0.000170731707317073</v>
      </c>
      <c r="AT244" s="32" t="str">
        <f t="shared" si="215"/>
        <v>0.000434473672534652i</v>
      </c>
      <c r="AU244" s="32">
        <f t="shared" si="239"/>
        <v>4.3447367253465199E-4</v>
      </c>
      <c r="AV244" s="32">
        <f t="shared" si="240"/>
        <v>1.5707963267948966</v>
      </c>
      <c r="AW244" s="32" t="str">
        <f t="shared" si="216"/>
        <v>1+0.0925031758199813i</v>
      </c>
      <c r="AX244" s="32">
        <f t="shared" si="241"/>
        <v>1.0042693052845848</v>
      </c>
      <c r="AY244" s="32">
        <f t="shared" si="242"/>
        <v>9.2240677319608014E-2</v>
      </c>
      <c r="AZ244" s="32" t="str">
        <f t="shared" si="217"/>
        <v>1+1.75756034057965i</v>
      </c>
      <c r="BA244" s="32">
        <f t="shared" si="243"/>
        <v>2.0221321299011241</v>
      </c>
      <c r="BB244" s="32">
        <f t="shared" si="244"/>
        <v>1.0535051761506313</v>
      </c>
      <c r="BC244" s="60" t="str">
        <f t="shared" si="245"/>
        <v>-0.648753163467994+0.452973875272909i</v>
      </c>
      <c r="BD244" s="51">
        <f t="shared" si="246"/>
        <v>-2.0337988180676478</v>
      </c>
      <c r="BE244" s="63">
        <f t="shared" si="247"/>
        <v>145.07639877877591</v>
      </c>
      <c r="BF244" s="60" t="str">
        <f t="shared" si="248"/>
        <v>1.36699292034433+2.63912483278845i</v>
      </c>
      <c r="BG244" s="66">
        <f t="shared" si="249"/>
        <v>9.4614016474648945</v>
      </c>
      <c r="BH244" s="63">
        <f t="shared" si="250"/>
        <v>62.617105654087446</v>
      </c>
      <c r="BI244" s="60" t="e">
        <f t="shared" si="255"/>
        <v>#NUM!</v>
      </c>
      <c r="BJ244" s="66" t="e">
        <f t="shared" si="251"/>
        <v>#NUM!</v>
      </c>
      <c r="BK244" s="63" t="e">
        <f t="shared" si="256"/>
        <v>#NUM!</v>
      </c>
      <c r="BL244" s="51">
        <f t="shared" si="252"/>
        <v>9.4614016474648945</v>
      </c>
      <c r="BM244" s="63">
        <f t="shared" si="253"/>
        <v>62.617105654087446</v>
      </c>
    </row>
    <row r="245" spans="14:65" x14ac:dyDescent="0.3">
      <c r="N245" s="11">
        <v>27</v>
      </c>
      <c r="O245" s="52">
        <f t="shared" si="254"/>
        <v>1862.0871366628687</v>
      </c>
      <c r="P245" s="50" t="str">
        <f t="shared" si="206"/>
        <v>23.3035714285714</v>
      </c>
      <c r="Q245" s="18" t="str">
        <f t="shared" si="207"/>
        <v>1+6.26777064523295i</v>
      </c>
      <c r="R245" s="18">
        <f t="shared" si="218"/>
        <v>6.3470425287092471</v>
      </c>
      <c r="S245" s="18">
        <f t="shared" si="219"/>
        <v>1.4125834112958231</v>
      </c>
      <c r="T245" s="18" t="str">
        <f t="shared" si="208"/>
        <v>1+0.0116998385377682i</v>
      </c>
      <c r="U245" s="18">
        <f t="shared" si="220"/>
        <v>1.0000684407688356</v>
      </c>
      <c r="V245" s="18">
        <f t="shared" si="221"/>
        <v>1.1699304732712109E-2</v>
      </c>
      <c r="W245" s="32" t="str">
        <f t="shared" si="209"/>
        <v>1-0.0285996053145445i</v>
      </c>
      <c r="X245" s="18">
        <f t="shared" si="222"/>
        <v>1.0004088851185537</v>
      </c>
      <c r="Y245" s="18">
        <f t="shared" si="223"/>
        <v>-2.8591811576560218E-2</v>
      </c>
      <c r="Z245" s="32" t="str">
        <f t="shared" si="210"/>
        <v>0.999986130525982+0.014036588789724i</v>
      </c>
      <c r="AA245" s="18">
        <f t="shared" si="224"/>
        <v>1.0000846399526282</v>
      </c>
      <c r="AB245" s="18">
        <f t="shared" si="225"/>
        <v>1.4035861686311447E-2</v>
      </c>
      <c r="AC245" s="68" t="str">
        <f t="shared" si="226"/>
        <v>0.466255465680761-3.64329184192003i</v>
      </c>
      <c r="AD245" s="66">
        <f t="shared" si="227"/>
        <v>11.30043163817855</v>
      </c>
      <c r="AE245" s="63">
        <f t="shared" si="228"/>
        <v>-82.707132661446522</v>
      </c>
      <c r="AF245" s="51" t="e">
        <f t="shared" si="229"/>
        <v>#NUM!</v>
      </c>
      <c r="AG245" s="51" t="str">
        <f t="shared" si="211"/>
        <v>1-8.77487890332617i</v>
      </c>
      <c r="AH245" s="51">
        <f t="shared" si="230"/>
        <v>8.8316759320096612</v>
      </c>
      <c r="AI245" s="51">
        <f t="shared" si="231"/>
        <v>-1.4573241813325299</v>
      </c>
      <c r="AJ245" s="51" t="str">
        <f t="shared" si="212"/>
        <v>1+0.0116998385377682i</v>
      </c>
      <c r="AK245" s="51">
        <f t="shared" si="232"/>
        <v>1.0000684407688356</v>
      </c>
      <c r="AL245" s="51">
        <f t="shared" si="233"/>
        <v>1.1699304732712109E-2</v>
      </c>
      <c r="AM245" s="51" t="e">
        <f t="shared" si="213"/>
        <v>#NUM!</v>
      </c>
      <c r="AN245" s="51" t="e">
        <f t="shared" si="234"/>
        <v>#NUM!</v>
      </c>
      <c r="AO245" s="51" t="e">
        <f t="shared" si="235"/>
        <v>#NUM!</v>
      </c>
      <c r="AP245" s="60" t="e">
        <f t="shared" si="236"/>
        <v>#NUM!</v>
      </c>
      <c r="AQ245" s="51" t="e">
        <f t="shared" si="237"/>
        <v>#NUM!</v>
      </c>
      <c r="AR245" s="63" t="e">
        <f t="shared" si="238"/>
        <v>#NUM!</v>
      </c>
      <c r="AS245" s="32" t="str">
        <f t="shared" si="214"/>
        <v>-0.000170731707317073</v>
      </c>
      <c r="AT245" s="32" t="str">
        <f t="shared" si="215"/>
        <v>0.000444593864435193i</v>
      </c>
      <c r="AU245" s="32">
        <f t="shared" si="239"/>
        <v>4.4459386443519299E-4</v>
      </c>
      <c r="AV245" s="32">
        <f t="shared" si="240"/>
        <v>1.5707963267948966</v>
      </c>
      <c r="AW245" s="32" t="str">
        <f t="shared" si="216"/>
        <v>1+0.0946578515803013i</v>
      </c>
      <c r="AX245" s="32">
        <f t="shared" si="241"/>
        <v>1.0044700636981665</v>
      </c>
      <c r="AY245" s="32">
        <f t="shared" si="242"/>
        <v>9.4376646928795341E-2</v>
      </c>
      <c r="AZ245" s="32" t="str">
        <f t="shared" si="217"/>
        <v>1+1.79849918002573i</v>
      </c>
      <c r="BA245" s="32">
        <f t="shared" si="243"/>
        <v>2.0578142045756276</v>
      </c>
      <c r="BB245" s="32">
        <f t="shared" si="244"/>
        <v>1.0633436297718086</v>
      </c>
      <c r="BC245" s="60" t="str">
        <f t="shared" si="245"/>
        <v>-0.648493863275511+0.445402272657153i</v>
      </c>
      <c r="BD245" s="51">
        <f t="shared" si="246"/>
        <v>-2.0836023784304194</v>
      </c>
      <c r="BE245" s="63">
        <f t="shared" si="247"/>
        <v>145.51771860442986</v>
      </c>
      <c r="BF245" s="60" t="str">
        <f t="shared" si="248"/>
        <v>1.32036665813181+2.5703236456599i</v>
      </c>
      <c r="BG245" s="66">
        <f t="shared" si="249"/>
        <v>9.2168292597481241</v>
      </c>
      <c r="BH245" s="63">
        <f t="shared" si="250"/>
        <v>62.810585942983252</v>
      </c>
      <c r="BI245" s="60" t="e">
        <f t="shared" si="255"/>
        <v>#NUM!</v>
      </c>
      <c r="BJ245" s="66" t="e">
        <f t="shared" si="251"/>
        <v>#NUM!</v>
      </c>
      <c r="BK245" s="63" t="e">
        <f t="shared" si="256"/>
        <v>#NUM!</v>
      </c>
      <c r="BL245" s="51">
        <f t="shared" si="252"/>
        <v>9.2168292597481241</v>
      </c>
      <c r="BM245" s="63">
        <f t="shared" si="253"/>
        <v>62.810585942983252</v>
      </c>
    </row>
    <row r="246" spans="14:65" x14ac:dyDescent="0.3">
      <c r="N246" s="11">
        <v>28</v>
      </c>
      <c r="O246" s="52">
        <f t="shared" si="254"/>
        <v>1905.4607179632501</v>
      </c>
      <c r="P246" s="50" t="str">
        <f t="shared" si="206"/>
        <v>23.3035714285714</v>
      </c>
      <c r="Q246" s="18" t="str">
        <f t="shared" si="207"/>
        <v>1+6.41376577848995i</v>
      </c>
      <c r="R246" s="18">
        <f t="shared" si="218"/>
        <v>6.4912549989450268</v>
      </c>
      <c r="S246" s="18">
        <f t="shared" si="219"/>
        <v>1.4161269665523288</v>
      </c>
      <c r="T246" s="18" t="str">
        <f t="shared" si="208"/>
        <v>1+0.0119723627865146i</v>
      </c>
      <c r="U246" s="18">
        <f t="shared" si="220"/>
        <v>1.0000716661673261</v>
      </c>
      <c r="V246" s="18">
        <f t="shared" si="221"/>
        <v>1.1971790806305505E-2</v>
      </c>
      <c r="W246" s="32" t="str">
        <f t="shared" si="209"/>
        <v>1-0.029265775700369i</v>
      </c>
      <c r="X246" s="18">
        <f t="shared" si="222"/>
        <v>1.0004281511569655</v>
      </c>
      <c r="Y246" s="18">
        <f t="shared" si="223"/>
        <v>-2.9257424752675638E-2</v>
      </c>
      <c r="Z246" s="32" t="str">
        <f t="shared" si="210"/>
        <v>0.999985476877809+0.0143635429440512i</v>
      </c>
      <c r="AA246" s="18">
        <f t="shared" si="224"/>
        <v>1.0000886287386956</v>
      </c>
      <c r="AB246" s="18">
        <f t="shared" si="225"/>
        <v>1.436276384240948E-2</v>
      </c>
      <c r="AC246" s="68" t="str">
        <f t="shared" si="226"/>
        <v>0.440712605652159-3.56432821876103i</v>
      </c>
      <c r="AD246" s="66">
        <f t="shared" si="227"/>
        <v>11.105447046843624</v>
      </c>
      <c r="AE246" s="63">
        <f t="shared" si="228"/>
        <v>-82.951418059760584</v>
      </c>
      <c r="AF246" s="51" t="e">
        <f t="shared" si="229"/>
        <v>#NUM!</v>
      </c>
      <c r="AG246" s="51" t="str">
        <f t="shared" si="211"/>
        <v>1-8.97927208988597i</v>
      </c>
      <c r="AH246" s="51">
        <f t="shared" si="230"/>
        <v>9.0347842953888584</v>
      </c>
      <c r="AI246" s="51">
        <f t="shared" si="231"/>
        <v>-1.4598857498467086</v>
      </c>
      <c r="AJ246" s="51" t="str">
        <f t="shared" si="212"/>
        <v>1+0.0119723627865146i</v>
      </c>
      <c r="AK246" s="51">
        <f t="shared" si="232"/>
        <v>1.0000716661673261</v>
      </c>
      <c r="AL246" s="51">
        <f t="shared" si="233"/>
        <v>1.1971790806305505E-2</v>
      </c>
      <c r="AM246" s="51" t="e">
        <f t="shared" si="213"/>
        <v>#NUM!</v>
      </c>
      <c r="AN246" s="51" t="e">
        <f t="shared" si="234"/>
        <v>#NUM!</v>
      </c>
      <c r="AO246" s="51" t="e">
        <f t="shared" si="235"/>
        <v>#NUM!</v>
      </c>
      <c r="AP246" s="60" t="e">
        <f t="shared" si="236"/>
        <v>#NUM!</v>
      </c>
      <c r="AQ246" s="51" t="e">
        <f t="shared" si="237"/>
        <v>#NUM!</v>
      </c>
      <c r="AR246" s="63" t="e">
        <f t="shared" si="238"/>
        <v>#NUM!</v>
      </c>
      <c r="AS246" s="32" t="str">
        <f t="shared" si="214"/>
        <v>-0.000170731707317073</v>
      </c>
      <c r="AT246" s="32" t="str">
        <f t="shared" si="215"/>
        <v>0.000454949785887553i</v>
      </c>
      <c r="AU246" s="32">
        <f t="shared" si="239"/>
        <v>4.5494978588755302E-4</v>
      </c>
      <c r="AV246" s="32">
        <f t="shared" si="240"/>
        <v>1.5707963267948966</v>
      </c>
      <c r="AW246" s="32" t="str">
        <f t="shared" si="216"/>
        <v>1+0.0968627161864748i</v>
      </c>
      <c r="AX246" s="32">
        <f t="shared" si="241"/>
        <v>1.0046802405676254</v>
      </c>
      <c r="AY246" s="32">
        <f t="shared" si="242"/>
        <v>9.6561475732050997E-2</v>
      </c>
      <c r="AZ246" s="32" t="str">
        <f t="shared" si="217"/>
        <v>1+1.84039160754303i</v>
      </c>
      <c r="BA246" s="32">
        <f t="shared" si="243"/>
        <v>2.0945265023663024</v>
      </c>
      <c r="BB246" s="32">
        <f t="shared" si="244"/>
        <v>1.0730632734580625</v>
      </c>
      <c r="BC246" s="60" t="str">
        <f t="shared" si="245"/>
        <v>-0.648222564711295+0.438064535597423i</v>
      </c>
      <c r="BD246" s="51">
        <f t="shared" si="246"/>
        <v>-2.1318256532102264</v>
      </c>
      <c r="BE246" s="63">
        <f t="shared" si="247"/>
        <v>145.9494316966381</v>
      </c>
      <c r="BF246" s="60" t="str">
        <f t="shared" si="248"/>
        <v>1.2757259303319+2.50353854236506i</v>
      </c>
      <c r="BG246" s="66">
        <f t="shared" si="249"/>
        <v>8.973621393633394</v>
      </c>
      <c r="BH246" s="63">
        <f t="shared" si="250"/>
        <v>62.998013636877531</v>
      </c>
      <c r="BI246" s="60" t="e">
        <f t="shared" si="255"/>
        <v>#NUM!</v>
      </c>
      <c r="BJ246" s="66" t="e">
        <f t="shared" si="251"/>
        <v>#NUM!</v>
      </c>
      <c r="BK246" s="63" t="e">
        <f t="shared" si="256"/>
        <v>#NUM!</v>
      </c>
      <c r="BL246" s="51">
        <f t="shared" si="252"/>
        <v>8.973621393633394</v>
      </c>
      <c r="BM246" s="63">
        <f t="shared" si="253"/>
        <v>62.998013636877531</v>
      </c>
    </row>
    <row r="247" spans="14:65" x14ac:dyDescent="0.3">
      <c r="N247" s="11">
        <v>29</v>
      </c>
      <c r="O247" s="52">
        <f t="shared" si="254"/>
        <v>1949.8445997580463</v>
      </c>
      <c r="P247" s="50" t="str">
        <f t="shared" si="206"/>
        <v>23.3035714285714</v>
      </c>
      <c r="Q247" s="18" t="str">
        <f t="shared" si="207"/>
        <v>1+6.56316157525885i</v>
      </c>
      <c r="R247" s="18">
        <f t="shared" si="218"/>
        <v>6.638907279285819</v>
      </c>
      <c r="S247" s="18">
        <f t="shared" si="219"/>
        <v>1.4195936483124567</v>
      </c>
      <c r="T247" s="18" t="str">
        <f t="shared" si="208"/>
        <v>1+0.0122512349404832i</v>
      </c>
      <c r="U247" s="18">
        <f t="shared" si="220"/>
        <v>1.0000750435630152</v>
      </c>
      <c r="V247" s="18">
        <f t="shared" si="221"/>
        <v>1.2250622055130772E-2</v>
      </c>
      <c r="W247" s="32" t="str">
        <f t="shared" si="209"/>
        <v>1-0.0299474631878478i</v>
      </c>
      <c r="X247" s="18">
        <f t="shared" si="222"/>
        <v>1.0004483247781404</v>
      </c>
      <c r="Y247" s="18">
        <f t="shared" si="223"/>
        <v>-2.9938515202733506E-2</v>
      </c>
      <c r="Z247" s="32" t="str">
        <f t="shared" si="210"/>
        <v>0.999984792424147+0.0146981128389712i</v>
      </c>
      <c r="AA247" s="18">
        <f t="shared" si="224"/>
        <v>1.0000928054938658</v>
      </c>
      <c r="AB247" s="18">
        <f t="shared" si="225"/>
        <v>1.4697278020674718E-2</v>
      </c>
      <c r="AC247" s="68" t="str">
        <f t="shared" si="226"/>
        <v>0.416265980338235-3.48690400393444i</v>
      </c>
      <c r="AD247" s="66">
        <f t="shared" si="227"/>
        <v>10.910256590651857</v>
      </c>
      <c r="AE247" s="63">
        <f t="shared" si="228"/>
        <v>-83.192258298633703</v>
      </c>
      <c r="AF247" s="51" t="e">
        <f t="shared" si="229"/>
        <v>#NUM!</v>
      </c>
      <c r="AG247" s="51" t="str">
        <f t="shared" si="211"/>
        <v>1-9.18842620536242i</v>
      </c>
      <c r="AH247" s="51">
        <f t="shared" si="230"/>
        <v>9.2426823017666706</v>
      </c>
      <c r="AI247" s="51">
        <f t="shared" si="231"/>
        <v>-1.4623904229668514</v>
      </c>
      <c r="AJ247" s="51" t="str">
        <f t="shared" si="212"/>
        <v>1+0.0122512349404832i</v>
      </c>
      <c r="AK247" s="51">
        <f t="shared" si="232"/>
        <v>1.0000750435630152</v>
      </c>
      <c r="AL247" s="51">
        <f t="shared" si="233"/>
        <v>1.2250622055130772E-2</v>
      </c>
      <c r="AM247" s="51" t="e">
        <f t="shared" si="213"/>
        <v>#NUM!</v>
      </c>
      <c r="AN247" s="51" t="e">
        <f t="shared" si="234"/>
        <v>#NUM!</v>
      </c>
      <c r="AO247" s="51" t="e">
        <f t="shared" si="235"/>
        <v>#NUM!</v>
      </c>
      <c r="AP247" s="60" t="e">
        <f t="shared" si="236"/>
        <v>#NUM!</v>
      </c>
      <c r="AQ247" s="51" t="e">
        <f t="shared" si="237"/>
        <v>#NUM!</v>
      </c>
      <c r="AR247" s="63" t="e">
        <f t="shared" si="238"/>
        <v>#NUM!</v>
      </c>
      <c r="AS247" s="32" t="str">
        <f t="shared" si="214"/>
        <v>-0.000170731707317073</v>
      </c>
      <c r="AT247" s="32" t="str">
        <f t="shared" si="215"/>
        <v>0.000465546927738362i</v>
      </c>
      <c r="AU247" s="32">
        <f t="shared" si="239"/>
        <v>4.6554692773836199E-4</v>
      </c>
      <c r="AV247" s="32">
        <f t="shared" si="240"/>
        <v>1.5707963267948966</v>
      </c>
      <c r="AW247" s="32" t="str">
        <f t="shared" si="216"/>
        <v>1+0.0991189386868987i</v>
      </c>
      <c r="AX247" s="32">
        <f t="shared" si="241"/>
        <v>1.0049002756524734</v>
      </c>
      <c r="AY247" s="32">
        <f t="shared" si="242"/>
        <v>9.8796238674745615E-2</v>
      </c>
      <c r="AZ247" s="32" t="str">
        <f t="shared" si="217"/>
        <v>1+1.88325983505108i</v>
      </c>
      <c r="BA247" s="32">
        <f t="shared" si="243"/>
        <v>2.1322916325673238</v>
      </c>
      <c r="BB247" s="32">
        <f t="shared" si="244"/>
        <v>1.0826619141116622</v>
      </c>
      <c r="BC247" s="60" t="str">
        <f t="shared" si="245"/>
        <v>-0.647938723428703+0.430956612645477i</v>
      </c>
      <c r="BD247" s="51">
        <f t="shared" si="246"/>
        <v>-2.1785128871680719</v>
      </c>
      <c r="BE247" s="63">
        <f t="shared" si="247"/>
        <v>146.37135081032338</v>
      </c>
      <c r="BF247" s="60" t="str">
        <f t="shared" si="248"/>
        <v>1.23298949024838+2.43869270587383i</v>
      </c>
      <c r="BG247" s="66">
        <f t="shared" si="249"/>
        <v>8.7317437034837848</v>
      </c>
      <c r="BH247" s="63">
        <f t="shared" si="250"/>
        <v>63.179092511689774</v>
      </c>
      <c r="BI247" s="60" t="e">
        <f t="shared" si="255"/>
        <v>#NUM!</v>
      </c>
      <c r="BJ247" s="66" t="e">
        <f t="shared" si="251"/>
        <v>#NUM!</v>
      </c>
      <c r="BK247" s="63" t="e">
        <f t="shared" si="256"/>
        <v>#NUM!</v>
      </c>
      <c r="BL247" s="51">
        <f t="shared" si="252"/>
        <v>8.7317437034837848</v>
      </c>
      <c r="BM247" s="63">
        <f t="shared" si="253"/>
        <v>63.179092511689774</v>
      </c>
    </row>
    <row r="248" spans="14:65" x14ac:dyDescent="0.3">
      <c r="N248" s="11">
        <v>30</v>
      </c>
      <c r="O248" s="52">
        <f t="shared" si="254"/>
        <v>1995.2623149688804</v>
      </c>
      <c r="P248" s="50" t="str">
        <f t="shared" si="206"/>
        <v>23.3035714285714</v>
      </c>
      <c r="Q248" s="18" t="str">
        <f t="shared" si="207"/>
        <v>1+6.7160372471687i</v>
      </c>
      <c r="R248" s="18">
        <f t="shared" si="218"/>
        <v>6.7900777834541293</v>
      </c>
      <c r="S248" s="18">
        <f t="shared" si="219"/>
        <v>1.4229849611879397</v>
      </c>
      <c r="T248" s="18" t="str">
        <f t="shared" si="208"/>
        <v>1+0.0125366028613816i</v>
      </c>
      <c r="U248" s="18">
        <f t="shared" si="220"/>
        <v>1.0000785801182346</v>
      </c>
      <c r="V248" s="18">
        <f t="shared" si="221"/>
        <v>1.2535946145681456E-2</v>
      </c>
      <c r="W248" s="32" t="str">
        <f t="shared" si="209"/>
        <v>1-0.0306450292167106i</v>
      </c>
      <c r="X248" s="18">
        <f t="shared" si="222"/>
        <v>1.0004694487167975</v>
      </c>
      <c r="Y248" s="18">
        <f t="shared" si="223"/>
        <v>-3.063544152088335E-2</v>
      </c>
      <c r="Z248" s="32" t="str">
        <f t="shared" si="210"/>
        <v>0.999984075713178+0.015040475867871i</v>
      </c>
      <c r="AA248" s="18">
        <f t="shared" si="224"/>
        <v>1.0000971790752491</v>
      </c>
      <c r="AB248" s="18">
        <f t="shared" si="225"/>
        <v>1.5039581348610038E-2</v>
      </c>
      <c r="AC248" s="68" t="str">
        <f t="shared" si="226"/>
        <v>0.392870793414399-3.4110004859066i</v>
      </c>
      <c r="AD248" s="66">
        <f t="shared" si="227"/>
        <v>10.71486979497843</v>
      </c>
      <c r="AE248" s="63">
        <f t="shared" si="228"/>
        <v>-83.429761819890842</v>
      </c>
      <c r="AF248" s="51" t="e">
        <f t="shared" si="229"/>
        <v>#NUM!</v>
      </c>
      <c r="AG248" s="51" t="str">
        <f t="shared" si="211"/>
        <v>1-9.40245214603622i</v>
      </c>
      <c r="AH248" s="51">
        <f t="shared" si="230"/>
        <v>9.455480228867339</v>
      </c>
      <c r="AI248" s="51">
        <f t="shared" si="231"/>
        <v>-1.4648394029332534</v>
      </c>
      <c r="AJ248" s="51" t="str">
        <f t="shared" si="212"/>
        <v>1+0.0125366028613816i</v>
      </c>
      <c r="AK248" s="51">
        <f t="shared" si="232"/>
        <v>1.0000785801182346</v>
      </c>
      <c r="AL248" s="51">
        <f t="shared" si="233"/>
        <v>1.2535946145681456E-2</v>
      </c>
      <c r="AM248" s="51" t="e">
        <f t="shared" si="213"/>
        <v>#NUM!</v>
      </c>
      <c r="AN248" s="51" t="e">
        <f t="shared" si="234"/>
        <v>#NUM!</v>
      </c>
      <c r="AO248" s="51" t="e">
        <f t="shared" si="235"/>
        <v>#NUM!</v>
      </c>
      <c r="AP248" s="60" t="e">
        <f t="shared" si="236"/>
        <v>#NUM!</v>
      </c>
      <c r="AQ248" s="51" t="e">
        <f t="shared" si="237"/>
        <v>#NUM!</v>
      </c>
      <c r="AR248" s="63" t="e">
        <f t="shared" si="238"/>
        <v>#NUM!</v>
      </c>
      <c r="AS248" s="32" t="str">
        <f t="shared" si="214"/>
        <v>-0.000170731707317073</v>
      </c>
      <c r="AT248" s="32" t="str">
        <f t="shared" si="215"/>
        <v>0.000476390908732501i</v>
      </c>
      <c r="AU248" s="32">
        <f t="shared" si="239"/>
        <v>4.7639090873250102E-4</v>
      </c>
      <c r="AV248" s="32">
        <f t="shared" si="240"/>
        <v>1.5707963267948966</v>
      </c>
      <c r="AW248" s="32" t="str">
        <f t="shared" si="216"/>
        <v>1+0.101427715360609i</v>
      </c>
      <c r="AX248" s="32">
        <f t="shared" si="241"/>
        <v>1.0051306290444406</v>
      </c>
      <c r="AY248" s="32">
        <f t="shared" si="242"/>
        <v>0.10108203132250373</v>
      </c>
      <c r="AZ248" s="32" t="str">
        <f t="shared" si="217"/>
        <v>1+1.92712659185158i</v>
      </c>
      <c r="BA248" s="32">
        <f t="shared" si="243"/>
        <v>2.1711326309144465</v>
      </c>
      <c r="BB248" s="32">
        <f t="shared" si="244"/>
        <v>1.0921375653731487</v>
      </c>
      <c r="BC248" s="60" t="str">
        <f t="shared" si="245"/>
        <v>-0.647641771419718+0.424074563067693i</v>
      </c>
      <c r="BD248" s="51">
        <f t="shared" si="246"/>
        <v>-2.2237086879333652</v>
      </c>
      <c r="BE248" s="63">
        <f t="shared" si="247"/>
        <v>146.78329936418584</v>
      </c>
      <c r="BF248" s="60" t="str">
        <f t="shared" si="248"/>
        <v>1.19207900409856+2.37571290706534i</v>
      </c>
      <c r="BG248" s="66">
        <f t="shared" si="249"/>
        <v>8.4911611070450697</v>
      </c>
      <c r="BH248" s="63">
        <f t="shared" si="250"/>
        <v>63.353537544295008</v>
      </c>
      <c r="BI248" s="60" t="e">
        <f t="shared" si="255"/>
        <v>#NUM!</v>
      </c>
      <c r="BJ248" s="66" t="e">
        <f t="shared" si="251"/>
        <v>#NUM!</v>
      </c>
      <c r="BK248" s="63" t="e">
        <f t="shared" si="256"/>
        <v>#NUM!</v>
      </c>
      <c r="BL248" s="51">
        <f t="shared" si="252"/>
        <v>8.4911611070450697</v>
      </c>
      <c r="BM248" s="63">
        <f t="shared" si="253"/>
        <v>63.353537544295008</v>
      </c>
    </row>
    <row r="249" spans="14:65" x14ac:dyDescent="0.3">
      <c r="N249" s="11">
        <v>31</v>
      </c>
      <c r="O249" s="52">
        <f t="shared" si="254"/>
        <v>2041.7379446695318</v>
      </c>
      <c r="P249" s="50" t="str">
        <f t="shared" si="206"/>
        <v>23.3035714285714</v>
      </c>
      <c r="Q249" s="18" t="str">
        <f t="shared" si="207"/>
        <v>1+6.87247385092424i</v>
      </c>
      <c r="R249" s="18">
        <f t="shared" si="218"/>
        <v>6.9448467824450555</v>
      </c>
      <c r="S249" s="18">
        <f t="shared" si="219"/>
        <v>1.426302391108454</v>
      </c>
      <c r="T249" s="18" t="str">
        <f t="shared" si="208"/>
        <v>1+0.0128286178550586i</v>
      </c>
      <c r="U249" s="18">
        <f t="shared" si="220"/>
        <v>1.0000822833327621</v>
      </c>
      <c r="V249" s="18">
        <f t="shared" si="221"/>
        <v>1.282791417463474E-2</v>
      </c>
      <c r="W249" s="32" t="str">
        <f t="shared" si="209"/>
        <v>1-0.0313588436456988i</v>
      </c>
      <c r="X249" s="18">
        <f t="shared" si="222"/>
        <v>1.0004915677179871</v>
      </c>
      <c r="Y249" s="18">
        <f t="shared" si="223"/>
        <v>-3.1348570517122309E-2</v>
      </c>
      <c r="Z249" s="32" t="str">
        <f t="shared" si="210"/>
        <v>0.999983325224661+0.0153908135561602i</v>
      </c>
      <c r="AA249" s="18">
        <f t="shared" si="224"/>
        <v>1.000101758757223</v>
      </c>
      <c r="AB249" s="18">
        <f t="shared" si="225"/>
        <v>1.5389855066731821E-2</v>
      </c>
      <c r="AC249" s="68" t="str">
        <f t="shared" si="226"/>
        <v>0.370483884744218-3.33659837871512i</v>
      </c>
      <c r="AD249" s="66">
        <f t="shared" si="227"/>
        <v>10.519295826349655</v>
      </c>
      <c r="AE249" s="63">
        <f t="shared" si="228"/>
        <v>-83.664036504810596</v>
      </c>
      <c r="AF249" s="51" t="e">
        <f t="shared" si="229"/>
        <v>#NUM!</v>
      </c>
      <c r="AG249" s="51" t="str">
        <f t="shared" si="211"/>
        <v>1-9.62146339129397i</v>
      </c>
      <c r="AH249" s="51">
        <f t="shared" si="230"/>
        <v>9.6732909493103776</v>
      </c>
      <c r="AI249" s="51">
        <f t="shared" si="231"/>
        <v>-1.4672338706614139</v>
      </c>
      <c r="AJ249" s="51" t="str">
        <f t="shared" si="212"/>
        <v>1+0.0128286178550586i</v>
      </c>
      <c r="AK249" s="51">
        <f t="shared" si="232"/>
        <v>1.0000822833327621</v>
      </c>
      <c r="AL249" s="51">
        <f t="shared" si="233"/>
        <v>1.282791417463474E-2</v>
      </c>
      <c r="AM249" s="51" t="e">
        <f t="shared" si="213"/>
        <v>#NUM!</v>
      </c>
      <c r="AN249" s="51" t="e">
        <f t="shared" si="234"/>
        <v>#NUM!</v>
      </c>
      <c r="AO249" s="51" t="e">
        <f t="shared" si="235"/>
        <v>#NUM!</v>
      </c>
      <c r="AP249" s="60" t="e">
        <f t="shared" si="236"/>
        <v>#NUM!</v>
      </c>
      <c r="AQ249" s="51" t="e">
        <f t="shared" si="237"/>
        <v>#NUM!</v>
      </c>
      <c r="AR249" s="63" t="e">
        <f t="shared" si="238"/>
        <v>#NUM!</v>
      </c>
      <c r="AS249" s="32" t="str">
        <f t="shared" si="214"/>
        <v>-0.000170731707317073</v>
      </c>
      <c r="AT249" s="32" t="str">
        <f t="shared" si="215"/>
        <v>0.000487487478492229i</v>
      </c>
      <c r="AU249" s="32">
        <f t="shared" si="239"/>
        <v>4.8748747849222901E-4</v>
      </c>
      <c r="AV249" s="32">
        <f t="shared" si="240"/>
        <v>1.5707963267948966</v>
      </c>
      <c r="AW249" s="32" t="str">
        <f t="shared" si="216"/>
        <v>1+0.103790270351558i</v>
      </c>
      <c r="AX249" s="32">
        <f t="shared" si="241"/>
        <v>1.005371782088422</v>
      </c>
      <c r="AY249" s="32">
        <f t="shared" si="242"/>
        <v>0.10341997003709752</v>
      </c>
      <c r="AZ249" s="32" t="str">
        <f t="shared" si="217"/>
        <v>1+1.97201513667961i</v>
      </c>
      <c r="BA249" s="32">
        <f t="shared" si="243"/>
        <v>2.2110729746649027</v>
      </c>
      <c r="BB249" s="32">
        <f t="shared" si="244"/>
        <v>1.1014884441092085</v>
      </c>
      <c r="BC249" s="60" t="str">
        <f t="shared" si="245"/>
        <v>-0.647331116085534+0.41741455400339i</v>
      </c>
      <c r="BD249" s="51">
        <f t="shared" si="246"/>
        <v>-2.2674579397541867</v>
      </c>
      <c r="BE249" s="63">
        <f t="shared" si="247"/>
        <v>147.18511122939424</v>
      </c>
      <c r="BF249" s="60" t="str">
        <f t="shared" si="248"/>
        <v>1.15291897753663+2.31452931793879i</v>
      </c>
      <c r="BG249" s="66">
        <f t="shared" si="249"/>
        <v>8.251837886595462</v>
      </c>
      <c r="BH249" s="63">
        <f t="shared" si="250"/>
        <v>63.521074724583563</v>
      </c>
      <c r="BI249" s="60" t="e">
        <f t="shared" si="255"/>
        <v>#NUM!</v>
      </c>
      <c r="BJ249" s="66" t="e">
        <f t="shared" si="251"/>
        <v>#NUM!</v>
      </c>
      <c r="BK249" s="63" t="e">
        <f t="shared" si="256"/>
        <v>#NUM!</v>
      </c>
      <c r="BL249" s="51">
        <f t="shared" si="252"/>
        <v>8.251837886595462</v>
      </c>
      <c r="BM249" s="63">
        <f t="shared" si="253"/>
        <v>63.521074724583563</v>
      </c>
    </row>
    <row r="250" spans="14:65" x14ac:dyDescent="0.3">
      <c r="N250" s="11">
        <v>32</v>
      </c>
      <c r="O250" s="52">
        <f t="shared" si="254"/>
        <v>2089.2961308540398</v>
      </c>
      <c r="P250" s="50" t="str">
        <f t="shared" si="206"/>
        <v>23.3035714285714</v>
      </c>
      <c r="Q250" s="18" t="str">
        <f t="shared" si="207"/>
        <v>1+7.03255433128354i</v>
      </c>
      <c r="R250" s="18">
        <f t="shared" si="218"/>
        <v>7.1032964475977547</v>
      </c>
      <c r="S250" s="18">
        <f t="shared" si="219"/>
        <v>1.4295474047919567</v>
      </c>
      <c r="T250" s="18" t="str">
        <f t="shared" si="208"/>
        <v>1+0.0131274347517293i</v>
      </c>
      <c r="U250" s="18">
        <f t="shared" si="220"/>
        <v>1.0000861610597163</v>
      </c>
      <c r="V250" s="18">
        <f t="shared" si="221"/>
        <v>1.3126680748078814E-2</v>
      </c>
      <c r="W250" s="32" t="str">
        <f t="shared" si="209"/>
        <v>1-0.0320892849486716i</v>
      </c>
      <c r="X250" s="18">
        <f t="shared" si="222"/>
        <v>1.0005147286314764</v>
      </c>
      <c r="Y250" s="18">
        <f t="shared" si="223"/>
        <v>-3.2078277398913724E-2</v>
      </c>
      <c r="Z250" s="32" t="str">
        <f t="shared" si="210"/>
        <v>0.99998253936671+0.0157493116575184i</v>
      </c>
      <c r="AA250" s="18">
        <f t="shared" si="224"/>
        <v>1.0001065542510856</v>
      </c>
      <c r="AB250" s="18">
        <f t="shared" si="225"/>
        <v>1.5748284623458585E-2</v>
      </c>
      <c r="AC250" s="68" t="str">
        <f t="shared" si="226"/>
        <v>0.349063687738465-3.26367789246619i</v>
      </c>
      <c r="AD250" s="66">
        <f t="shared" si="227"/>
        <v>10.323543507015305</v>
      </c>
      <c r="AE250" s="63">
        <f t="shared" si="228"/>
        <v>-83.89518965508104</v>
      </c>
      <c r="AF250" s="51" t="e">
        <f t="shared" si="229"/>
        <v>#NUM!</v>
      </c>
      <c r="AG250" s="51" t="str">
        <f t="shared" si="211"/>
        <v>1-9.845576063797i</v>
      </c>
      <c r="AH250" s="51">
        <f t="shared" si="230"/>
        <v>9.8962299906586857</v>
      </c>
      <c r="AI250" s="51">
        <f t="shared" si="231"/>
        <v>-1.4695749858408924</v>
      </c>
      <c r="AJ250" s="51" t="str">
        <f t="shared" si="212"/>
        <v>1+0.0131274347517293i</v>
      </c>
      <c r="AK250" s="51">
        <f t="shared" si="232"/>
        <v>1.0000861610597163</v>
      </c>
      <c r="AL250" s="51">
        <f t="shared" si="233"/>
        <v>1.3126680748078814E-2</v>
      </c>
      <c r="AM250" s="51" t="e">
        <f t="shared" si="213"/>
        <v>#NUM!</v>
      </c>
      <c r="AN250" s="51" t="e">
        <f t="shared" si="234"/>
        <v>#NUM!</v>
      </c>
      <c r="AO250" s="51" t="e">
        <f t="shared" si="235"/>
        <v>#NUM!</v>
      </c>
      <c r="AP250" s="60" t="e">
        <f t="shared" si="236"/>
        <v>#NUM!</v>
      </c>
      <c r="AQ250" s="51" t="e">
        <f t="shared" si="237"/>
        <v>#NUM!</v>
      </c>
      <c r="AR250" s="63" t="e">
        <f t="shared" si="238"/>
        <v>#NUM!</v>
      </c>
      <c r="AS250" s="32" t="str">
        <f t="shared" si="214"/>
        <v>-0.000170731707317073</v>
      </c>
      <c r="AT250" s="32" t="str">
        <f t="shared" si="215"/>
        <v>0.000498842520565712i</v>
      </c>
      <c r="AU250" s="32">
        <f t="shared" si="239"/>
        <v>4.9884252056571195E-4</v>
      </c>
      <c r="AV250" s="32">
        <f t="shared" si="240"/>
        <v>1.5707963267948966</v>
      </c>
      <c r="AW250" s="32" t="str">
        <f t="shared" si="216"/>
        <v>1+0.106207856317675i</v>
      </c>
      <c r="AX250" s="32">
        <f t="shared" si="241"/>
        <v>1.0056242383433267</v>
      </c>
      <c r="AY250" s="32">
        <f t="shared" si="242"/>
        <v>0.10581119213605641</v>
      </c>
      <c r="AZ250" s="32" t="str">
        <f t="shared" si="217"/>
        <v>1+2.01794927003583i</v>
      </c>
      <c r="BA250" s="32">
        <f t="shared" si="243"/>
        <v>2.2521365980859462</v>
      </c>
      <c r="BB250" s="32">
        <f t="shared" si="244"/>
        <v>1.1107129663357473</v>
      </c>
      <c r="BC250" s="60" t="str">
        <f t="shared" si="245"/>
        <v>-0.647006139280409+0.410972857631742i</v>
      </c>
      <c r="BD250" s="51">
        <f t="shared" si="246"/>
        <v>-2.3098057218915882</v>
      </c>
      <c r="BE250" s="63">
        <f t="shared" si="247"/>
        <v>147.57663048685069</v>
      </c>
      <c r="BF250" s="60" t="str">
        <f t="shared" si="248"/>
        <v>1.11543668088972+2.25507533430472i</v>
      </c>
      <c r="BG250" s="66">
        <f t="shared" si="249"/>
        <v>8.0137377851237019</v>
      </c>
      <c r="BH250" s="63">
        <f t="shared" si="250"/>
        <v>63.68144083176972</v>
      </c>
      <c r="BI250" s="60" t="e">
        <f t="shared" si="255"/>
        <v>#NUM!</v>
      </c>
      <c r="BJ250" s="66" t="e">
        <f t="shared" si="251"/>
        <v>#NUM!</v>
      </c>
      <c r="BK250" s="63" t="e">
        <f t="shared" si="256"/>
        <v>#NUM!</v>
      </c>
      <c r="BL250" s="51">
        <f t="shared" si="252"/>
        <v>8.0137377851237019</v>
      </c>
      <c r="BM250" s="63">
        <f t="shared" si="253"/>
        <v>63.68144083176972</v>
      </c>
    </row>
    <row r="251" spans="14:65" x14ac:dyDescent="0.3">
      <c r="N251" s="11">
        <v>33</v>
      </c>
      <c r="O251" s="52">
        <f t="shared" si="254"/>
        <v>2137.9620895022344</v>
      </c>
      <c r="P251" s="50" t="str">
        <f t="shared" si="206"/>
        <v>23.3035714285714</v>
      </c>
      <c r="Q251" s="18" t="str">
        <f t="shared" si="207"/>
        <v>1+7.19636356503609i</v>
      </c>
      <c r="R251" s="18">
        <f t="shared" si="218"/>
        <v>7.2655108946431941</v>
      </c>
      <c r="S251" s="18">
        <f t="shared" si="219"/>
        <v>1.4327214492821039</v>
      </c>
      <c r="T251" s="18" t="str">
        <f t="shared" si="208"/>
        <v>1+0.0134332119880674i</v>
      </c>
      <c r="U251" s="18">
        <f t="shared" si="220"/>
        <v>1.0000902215221967</v>
      </c>
      <c r="V251" s="18">
        <f t="shared" si="221"/>
        <v>1.3432404062536128E-2</v>
      </c>
      <c r="W251" s="32" t="str">
        <f t="shared" si="209"/>
        <v>1-0.0328367404152759i</v>
      </c>
      <c r="X251" s="18">
        <f t="shared" si="222"/>
        <v>1.0005389805105547</v>
      </c>
      <c r="Y251" s="18">
        <f t="shared" si="223"/>
        <v>-3.2824945956338523E-2</v>
      </c>
      <c r="Z251" s="32" t="str">
        <f t="shared" si="210"/>
        <v>0.999981716472415+0.0161161602523842i</v>
      </c>
      <c r="AA251" s="18">
        <f t="shared" si="224"/>
        <v>1.0001115757256276</v>
      </c>
      <c r="AB251" s="18">
        <f t="shared" si="225"/>
        <v>1.611505977214427E-2</v>
      </c>
      <c r="AC251" s="68" t="str">
        <f t="shared" si="226"/>
        <v>0.328570186205277-3.19221879933929i</v>
      </c>
      <c r="AD251" s="66">
        <f t="shared" si="227"/>
        <v>10.127621329191772</v>
      </c>
      <c r="AE251" s="63">
        <f t="shared" si="228"/>
        <v>-84.123327977821617</v>
      </c>
      <c r="AF251" s="51" t="e">
        <f t="shared" si="229"/>
        <v>#NUM!</v>
      </c>
      <c r="AG251" s="51" t="str">
        <f t="shared" si="211"/>
        <v>1-10.0749089910506i</v>
      </c>
      <c r="AH251" s="51">
        <f t="shared" si="230"/>
        <v>10.124415596860503</v>
      </c>
      <c r="AI251" s="51">
        <f t="shared" si="231"/>
        <v>-1.4718638870559342</v>
      </c>
      <c r="AJ251" s="51" t="str">
        <f t="shared" si="212"/>
        <v>1+0.0134332119880674i</v>
      </c>
      <c r="AK251" s="51">
        <f t="shared" si="232"/>
        <v>1.0000902215221967</v>
      </c>
      <c r="AL251" s="51">
        <f t="shared" si="233"/>
        <v>1.3432404062536128E-2</v>
      </c>
      <c r="AM251" s="51" t="e">
        <f t="shared" si="213"/>
        <v>#NUM!</v>
      </c>
      <c r="AN251" s="51" t="e">
        <f t="shared" si="234"/>
        <v>#NUM!</v>
      </c>
      <c r="AO251" s="51" t="e">
        <f t="shared" si="235"/>
        <v>#NUM!</v>
      </c>
      <c r="AP251" s="60" t="e">
        <f t="shared" si="236"/>
        <v>#NUM!</v>
      </c>
      <c r="AQ251" s="51" t="e">
        <f t="shared" si="237"/>
        <v>#NUM!</v>
      </c>
      <c r="AR251" s="63" t="e">
        <f t="shared" si="238"/>
        <v>#NUM!</v>
      </c>
      <c r="AS251" s="32" t="str">
        <f t="shared" si="214"/>
        <v>-0.000170731707317073</v>
      </c>
      <c r="AT251" s="32" t="str">
        <f t="shared" si="215"/>
        <v>0.000510462055546562i</v>
      </c>
      <c r="AU251" s="32">
        <f t="shared" si="239"/>
        <v>5.1046205554656197E-4</v>
      </c>
      <c r="AV251" s="32">
        <f t="shared" si="240"/>
        <v>1.5707963267948966</v>
      </c>
      <c r="AW251" s="32" t="str">
        <f t="shared" si="216"/>
        <v>1+0.108681755095038i</v>
      </c>
      <c r="AX251" s="32">
        <f t="shared" si="241"/>
        <v>1.0058885245843785</v>
      </c>
      <c r="AY251" s="32">
        <f t="shared" si="242"/>
        <v>0.10825685603430062</v>
      </c>
      <c r="AZ251" s="32" t="str">
        <f t="shared" si="217"/>
        <v>1+2.06495334680572i</v>
      </c>
      <c r="BA251" s="32">
        <f t="shared" si="243"/>
        <v>2.2943479083356442</v>
      </c>
      <c r="BB251" s="32">
        <f t="shared" si="244"/>
        <v>1.1198097426314673</v>
      </c>
      <c r="BC251" s="60" t="str">
        <f t="shared" si="245"/>
        <v>-0.646666196328881+0.404745848342933i</v>
      </c>
      <c r="BD251" s="51">
        <f t="shared" si="246"/>
        <v>-2.3507972318815265</v>
      </c>
      <c r="BE251" s="63">
        <f t="shared" si="247"/>
        <v>147.95771115629327</v>
      </c>
      <c r="BF251" s="60" t="str">
        <f t="shared" si="248"/>
        <v>1.0795620734944+2.19728740757414i</v>
      </c>
      <c r="BG251" s="66">
        <f t="shared" si="249"/>
        <v>7.7768240973102545</v>
      </c>
      <c r="BH251" s="63">
        <f t="shared" si="250"/>
        <v>63.834383178471704</v>
      </c>
      <c r="BI251" s="60" t="e">
        <f t="shared" si="255"/>
        <v>#NUM!</v>
      </c>
      <c r="BJ251" s="66" t="e">
        <f t="shared" si="251"/>
        <v>#NUM!</v>
      </c>
      <c r="BK251" s="63" t="e">
        <f t="shared" si="256"/>
        <v>#NUM!</v>
      </c>
      <c r="BL251" s="51">
        <f t="shared" si="252"/>
        <v>7.7768240973102545</v>
      </c>
      <c r="BM251" s="63">
        <f t="shared" si="253"/>
        <v>63.834383178471704</v>
      </c>
    </row>
    <row r="252" spans="14:65" x14ac:dyDescent="0.3">
      <c r="N252" s="11">
        <v>34</v>
      </c>
      <c r="O252" s="52">
        <f t="shared" si="254"/>
        <v>2187.7616239495528</v>
      </c>
      <c r="P252" s="50" t="str">
        <f t="shared" si="206"/>
        <v>23.3035714285714</v>
      </c>
      <c r="Q252" s="18" t="str">
        <f t="shared" si="207"/>
        <v>1+7.36398840600599i</v>
      </c>
      <c r="R252" s="18">
        <f t="shared" si="218"/>
        <v>7.4315762287546132</v>
      </c>
      <c r="S252" s="18">
        <f t="shared" si="219"/>
        <v>1.4358259515484564</v>
      </c>
      <c r="T252" s="18" t="str">
        <f t="shared" si="208"/>
        <v>1+0.0137461116912112i</v>
      </c>
      <c r="U252" s="18">
        <f t="shared" si="220"/>
        <v>1.0000944733307084</v>
      </c>
      <c r="V252" s="18">
        <f t="shared" si="221"/>
        <v>1.3745245987823956E-2</v>
      </c>
      <c r="W252" s="32" t="str">
        <f t="shared" si="209"/>
        <v>1-0.033601606356294i</v>
      </c>
      <c r="X252" s="18">
        <f t="shared" si="222"/>
        <v>1.000564374715452</v>
      </c>
      <c r="Y252" s="18">
        <f t="shared" si="223"/>
        <v>-3.3588968750820403E-2</v>
      </c>
      <c r="Z252" s="32" t="str">
        <f t="shared" si="210"/>
        <v>0.999980854796307+0.0164915538487384i</v>
      </c>
      <c r="AA252" s="18">
        <f t="shared" si="224"/>
        <v>1.0001168338286777</v>
      </c>
      <c r="AB252" s="18">
        <f t="shared" si="225"/>
        <v>1.6490374670301622E-2</v>
      </c>
      <c r="AC252" s="68" t="str">
        <f t="shared" si="226"/>
        <v>0.308964870891652-3.12220049530066i</v>
      </c>
      <c r="AD252" s="66">
        <f t="shared" si="227"/>
        <v>9.9315374689719391</v>
      </c>
      <c r="AE252" s="63">
        <f t="shared" si="228"/>
        <v>-84.348557574427076</v>
      </c>
      <c r="AF252" s="51" t="e">
        <f t="shared" si="229"/>
        <v>#NUM!</v>
      </c>
      <c r="AG252" s="51" t="str">
        <f t="shared" si="211"/>
        <v>1-10.3095837684084i</v>
      </c>
      <c r="AH252" s="51">
        <f t="shared" si="230"/>
        <v>10.357968791120676</v>
      </c>
      <c r="AI252" s="51">
        <f t="shared" si="231"/>
        <v>-1.4741016919259748</v>
      </c>
      <c r="AJ252" s="51" t="str">
        <f t="shared" si="212"/>
        <v>1+0.0137461116912112i</v>
      </c>
      <c r="AK252" s="51">
        <f t="shared" si="232"/>
        <v>1.0000944733307084</v>
      </c>
      <c r="AL252" s="51">
        <f t="shared" si="233"/>
        <v>1.3745245987823956E-2</v>
      </c>
      <c r="AM252" s="51" t="e">
        <f t="shared" si="213"/>
        <v>#NUM!</v>
      </c>
      <c r="AN252" s="51" t="e">
        <f t="shared" si="234"/>
        <v>#NUM!</v>
      </c>
      <c r="AO252" s="51" t="e">
        <f t="shared" si="235"/>
        <v>#NUM!</v>
      </c>
      <c r="AP252" s="60" t="e">
        <f t="shared" si="236"/>
        <v>#NUM!</v>
      </c>
      <c r="AQ252" s="51" t="e">
        <f t="shared" si="237"/>
        <v>#NUM!</v>
      </c>
      <c r="AR252" s="63" t="e">
        <f t="shared" si="238"/>
        <v>#NUM!</v>
      </c>
      <c r="AS252" s="32" t="str">
        <f t="shared" si="214"/>
        <v>-0.000170731707317073</v>
      </c>
      <c r="AT252" s="32" t="str">
        <f t="shared" si="215"/>
        <v>0.000522352244266025i</v>
      </c>
      <c r="AU252" s="32">
        <f t="shared" si="239"/>
        <v>5.2235224426602496E-4</v>
      </c>
      <c r="AV252" s="32">
        <f t="shared" si="240"/>
        <v>1.5707963267948966</v>
      </c>
      <c r="AW252" s="32" t="str">
        <f t="shared" si="216"/>
        <v>1+0.111213278377525i</v>
      </c>
      <c r="AX252" s="32">
        <f t="shared" si="241"/>
        <v>1.0061651918484742</v>
      </c>
      <c r="AY252" s="32">
        <f t="shared" si="242"/>
        <v>0.11075814136602696</v>
      </c>
      <c r="AZ252" s="32" t="str">
        <f t="shared" si="217"/>
        <v>1+2.11305228917299i</v>
      </c>
      <c r="BA252" s="32">
        <f t="shared" si="243"/>
        <v>2.3377318017213207</v>
      </c>
      <c r="BB252" s="32">
        <f t="shared" si="244"/>
        <v>1.1287775730973419</v>
      </c>
      <c r="BC252" s="60" t="str">
        <f t="shared" si="245"/>
        <v>-0.646310615016866+0.398729999909076i</v>
      </c>
      <c r="BD252" s="51">
        <f t="shared" si="246"/>
        <v>-2.3904777138361357</v>
      </c>
      <c r="BE252" s="63">
        <f t="shared" si="247"/>
        <v>148.3282169005108</v>
      </c>
      <c r="BF252" s="60" t="str">
        <f t="shared" si="248"/>
        <v>1.04522772748276+2.14110488526627i</v>
      </c>
      <c r="BG252" s="66">
        <f t="shared" si="249"/>
        <v>7.541059755135807</v>
      </c>
      <c r="BH252" s="63">
        <f t="shared" si="250"/>
        <v>63.979659326083684</v>
      </c>
      <c r="BI252" s="60" t="e">
        <f t="shared" si="255"/>
        <v>#NUM!</v>
      </c>
      <c r="BJ252" s="66" t="e">
        <f t="shared" si="251"/>
        <v>#NUM!</v>
      </c>
      <c r="BK252" s="63" t="e">
        <f t="shared" si="256"/>
        <v>#NUM!</v>
      </c>
      <c r="BL252" s="51">
        <f t="shared" si="252"/>
        <v>7.541059755135807</v>
      </c>
      <c r="BM252" s="63">
        <f t="shared" si="253"/>
        <v>63.979659326083684</v>
      </c>
    </row>
    <row r="253" spans="14:65" x14ac:dyDescent="0.3">
      <c r="N253" s="11">
        <v>35</v>
      </c>
      <c r="O253" s="52">
        <f t="shared" si="254"/>
        <v>2238.7211385683418</v>
      </c>
      <c r="P253" s="50" t="str">
        <f t="shared" si="206"/>
        <v>23.3035714285714</v>
      </c>
      <c r="Q253" s="18" t="str">
        <f t="shared" si="207"/>
        <v>1+7.53551773110267i</v>
      </c>
      <c r="R253" s="18">
        <f t="shared" si="218"/>
        <v>7.6015805906247369</v>
      </c>
      <c r="S253" s="18">
        <f t="shared" si="219"/>
        <v>1.4388623181453246</v>
      </c>
      <c r="T253" s="18" t="str">
        <f t="shared" si="208"/>
        <v>1+0.014066299764725i</v>
      </c>
      <c r="U253" s="18">
        <f t="shared" si="220"/>
        <v>1.0000989255014081</v>
      </c>
      <c r="V253" s="18">
        <f t="shared" si="221"/>
        <v>1.4065372151788526E-2</v>
      </c>
      <c r="W253" s="32" t="str">
        <f t="shared" si="209"/>
        <v>1-0.0343842883137722i</v>
      </c>
      <c r="X253" s="18">
        <f t="shared" si="222"/>
        <v>1.0005909650215941</v>
      </c>
      <c r="Y253" s="18">
        <f t="shared" si="223"/>
        <v>-3.4370747307449608E-2</v>
      </c>
      <c r="Z253" s="32" t="str">
        <f t="shared" si="210"/>
        <v>0.999979952510655+0.0168756914852347i</v>
      </c>
      <c r="AA253" s="18">
        <f t="shared" si="224"/>
        <v>1.0001223397096561</v>
      </c>
      <c r="AB253" s="18">
        <f t="shared" si="225"/>
        <v>1.687442798106174E-2</v>
      </c>
      <c r="AC253" s="68" t="str">
        <f t="shared" si="226"/>
        <v>0.290210695896516-3.05360205772616i</v>
      </c>
      <c r="AD253" s="66">
        <f t="shared" si="227"/>
        <v>9.7352997999042845</v>
      </c>
      <c r="AE253" s="63">
        <f t="shared" si="228"/>
        <v>-84.570983932998502</v>
      </c>
      <c r="AF253" s="51" t="e">
        <f t="shared" si="229"/>
        <v>#NUM!</v>
      </c>
      <c r="AG253" s="51" t="str">
        <f t="shared" si="211"/>
        <v>1-10.5497248235438i</v>
      </c>
      <c r="AH253" s="51">
        <f t="shared" si="230"/>
        <v>10.597013440233823</v>
      </c>
      <c r="AI253" s="51">
        <f t="shared" si="231"/>
        <v>-1.4762894972642129</v>
      </c>
      <c r="AJ253" s="51" t="str">
        <f t="shared" si="212"/>
        <v>1+0.014066299764725i</v>
      </c>
      <c r="AK253" s="51">
        <f t="shared" si="232"/>
        <v>1.0000989255014081</v>
      </c>
      <c r="AL253" s="51">
        <f t="shared" si="233"/>
        <v>1.4065372151788526E-2</v>
      </c>
      <c r="AM253" s="51" t="e">
        <f t="shared" si="213"/>
        <v>#NUM!</v>
      </c>
      <c r="AN253" s="51" t="e">
        <f t="shared" si="234"/>
        <v>#NUM!</v>
      </c>
      <c r="AO253" s="51" t="e">
        <f t="shared" si="235"/>
        <v>#NUM!</v>
      </c>
      <c r="AP253" s="60" t="e">
        <f t="shared" si="236"/>
        <v>#NUM!</v>
      </c>
      <c r="AQ253" s="51" t="e">
        <f t="shared" si="237"/>
        <v>#NUM!</v>
      </c>
      <c r="AR253" s="63" t="e">
        <f t="shared" si="238"/>
        <v>#NUM!</v>
      </c>
      <c r="AS253" s="32" t="str">
        <f t="shared" si="214"/>
        <v>-0.000170731707317073</v>
      </c>
      <c r="AT253" s="32" t="str">
        <f t="shared" si="215"/>
        <v>0.000534519391059548i</v>
      </c>
      <c r="AU253" s="32">
        <f t="shared" si="239"/>
        <v>5.3451939105954803E-4</v>
      </c>
      <c r="AV253" s="32">
        <f t="shared" si="240"/>
        <v>1.5707963267948966</v>
      </c>
      <c r="AW253" s="32" t="str">
        <f t="shared" si="216"/>
        <v>1+0.113803768412291i</v>
      </c>
      <c r="AX253" s="32">
        <f t="shared" si="241"/>
        <v>1.0064548165242384</v>
      </c>
      <c r="AY253" s="32">
        <f t="shared" si="242"/>
        <v>0.11331624908492599</v>
      </c>
      <c r="AZ253" s="32" t="str">
        <f t="shared" si="217"/>
        <v>1+2.16227159983353i</v>
      </c>
      <c r="BA253" s="32">
        <f t="shared" si="243"/>
        <v>2.3823136803214333</v>
      </c>
      <c r="BB253" s="32">
        <f t="shared" si="244"/>
        <v>1.1376154419165447</v>
      </c>
      <c r="BC253" s="60" t="str">
        <f t="shared" si="245"/>
        <v>-0.645938694556985+0.39292188265017i</v>
      </c>
      <c r="BD253" s="51">
        <f t="shared" si="246"/>
        <v>-2.4288923919132528</v>
      </c>
      <c r="BE253" s="63">
        <f t="shared" si="247"/>
        <v>148.68802070790869</v>
      </c>
      <c r="BF253" s="60" t="str">
        <f t="shared" si="248"/>
        <v>1.01236875133233+2.08646985986103i</v>
      </c>
      <c r="BG253" s="66">
        <f t="shared" si="249"/>
        <v>7.3064074079910242</v>
      </c>
      <c r="BH253" s="63">
        <f t="shared" si="250"/>
        <v>64.117036774910048</v>
      </c>
      <c r="BI253" s="60" t="e">
        <f t="shared" si="255"/>
        <v>#NUM!</v>
      </c>
      <c r="BJ253" s="66" t="e">
        <f t="shared" si="251"/>
        <v>#NUM!</v>
      </c>
      <c r="BK253" s="63" t="e">
        <f t="shared" si="256"/>
        <v>#NUM!</v>
      </c>
      <c r="BL253" s="51">
        <f t="shared" si="252"/>
        <v>7.3064074079910242</v>
      </c>
      <c r="BM253" s="63">
        <f t="shared" si="253"/>
        <v>64.117036774910048</v>
      </c>
    </row>
    <row r="254" spans="14:65" x14ac:dyDescent="0.3">
      <c r="N254" s="11">
        <v>36</v>
      </c>
      <c r="O254" s="52">
        <f t="shared" si="254"/>
        <v>2290.8676527677749</v>
      </c>
      <c r="P254" s="50" t="str">
        <f t="shared" si="206"/>
        <v>23.3035714285714</v>
      </c>
      <c r="Q254" s="18" t="str">
        <f t="shared" si="207"/>
        <v>1+7.71104248744472i</v>
      </c>
      <c r="R254" s="18">
        <f t="shared" si="218"/>
        <v>7.7756142035968878</v>
      </c>
      <c r="S254" s="18">
        <f t="shared" si="219"/>
        <v>1.4418319349253494</v>
      </c>
      <c r="T254" s="18" t="str">
        <f t="shared" si="208"/>
        <v>1+0.0143939459765635i</v>
      </c>
      <c r="U254" s="18">
        <f t="shared" si="220"/>
        <v>1.0001035874752056</v>
      </c>
      <c r="V254" s="18">
        <f t="shared" si="221"/>
        <v>1.4392952026954448E-2</v>
      </c>
      <c r="W254" s="32" t="str">
        <f t="shared" si="209"/>
        <v>1-0.0351852012760441i</v>
      </c>
      <c r="X254" s="18">
        <f t="shared" si="222"/>
        <v>1.0006188077329128</v>
      </c>
      <c r="Y254" s="18">
        <f t="shared" si="223"/>
        <v>-3.5170692310935295E-2</v>
      </c>
      <c r="Z254" s="32" t="str">
        <f t="shared" si="210"/>
        <v>0.99997900770159+0.0172687768367326i</v>
      </c>
      <c r="AA254" s="18">
        <f t="shared" si="224"/>
        <v>1.0001281050431956</v>
      </c>
      <c r="AB254" s="18">
        <f t="shared" si="225"/>
        <v>1.7267422976916334E-2</v>
      </c>
      <c r="AC254" s="68" t="str">
        <f t="shared" si="226"/>
        <v>0.272272035116305-2.98640229912875i</v>
      </c>
      <c r="AD254" s="66">
        <f t="shared" si="227"/>
        <v>9.5389159062398097</v>
      </c>
      <c r="AE254" s="63">
        <f t="shared" si="228"/>
        <v>-84.790711924139245</v>
      </c>
      <c r="AF254" s="51" t="e">
        <f t="shared" si="229"/>
        <v>#NUM!</v>
      </c>
      <c r="AG254" s="51" t="str">
        <f t="shared" si="211"/>
        <v>1-10.7954594824227i</v>
      </c>
      <c r="AH254" s="51">
        <f t="shared" si="230"/>
        <v>10.841676320414209</v>
      </c>
      <c r="AI254" s="51">
        <f t="shared" si="231"/>
        <v>-1.4784283792525681</v>
      </c>
      <c r="AJ254" s="51" t="str">
        <f t="shared" si="212"/>
        <v>1+0.0143939459765635i</v>
      </c>
      <c r="AK254" s="51">
        <f t="shared" si="232"/>
        <v>1.0001035874752056</v>
      </c>
      <c r="AL254" s="51">
        <f t="shared" si="233"/>
        <v>1.4392952026954448E-2</v>
      </c>
      <c r="AM254" s="51" t="e">
        <f t="shared" si="213"/>
        <v>#NUM!</v>
      </c>
      <c r="AN254" s="51" t="e">
        <f t="shared" si="234"/>
        <v>#NUM!</v>
      </c>
      <c r="AO254" s="51" t="e">
        <f t="shared" si="235"/>
        <v>#NUM!</v>
      </c>
      <c r="AP254" s="60" t="e">
        <f t="shared" si="236"/>
        <v>#NUM!</v>
      </c>
      <c r="AQ254" s="51" t="e">
        <f t="shared" si="237"/>
        <v>#NUM!</v>
      </c>
      <c r="AR254" s="63" t="e">
        <f t="shared" si="238"/>
        <v>#NUM!</v>
      </c>
      <c r="AS254" s="32" t="str">
        <f t="shared" si="214"/>
        <v>-0.000170731707317073</v>
      </c>
      <c r="AT254" s="32" t="str">
        <f t="shared" si="215"/>
        <v>0.000546969947109412i</v>
      </c>
      <c r="AU254" s="32">
        <f t="shared" si="239"/>
        <v>5.4696994710941196E-4</v>
      </c>
      <c r="AV254" s="32">
        <f t="shared" si="240"/>
        <v>1.5707963267948966</v>
      </c>
      <c r="AW254" s="32" t="str">
        <f t="shared" si="216"/>
        <v>1+0.116454598711439i</v>
      </c>
      <c r="AX254" s="32">
        <f t="shared" si="241"/>
        <v>1.0067580014884621</v>
      </c>
      <c r="AY254" s="32">
        <f t="shared" si="242"/>
        <v>0.11593240154069855</v>
      </c>
      <c r="AZ254" s="32" t="str">
        <f t="shared" si="217"/>
        <v>1+2.21263737551734i</v>
      </c>
      <c r="BA254" s="32">
        <f t="shared" si="243"/>
        <v>2.4281194689586965</v>
      </c>
      <c r="BB254" s="32">
        <f t="shared" si="244"/>
        <v>1.1463225115684572</v>
      </c>
      <c r="BC254" s="60" t="str">
        <f t="shared" si="245"/>
        <v>-0.645549704529014+0.387318160590411i</v>
      </c>
      <c r="BD254" s="51">
        <f t="shared" si="246"/>
        <v>-2.4660864090342702</v>
      </c>
      <c r="BE254" s="63">
        <f t="shared" si="247"/>
        <v>149.03700455661104</v>
      </c>
      <c r="BF254" s="60" t="str">
        <f t="shared" si="248"/>
        <v>0.980922713460678+2.03332702562879i</v>
      </c>
      <c r="BG254" s="66">
        <f t="shared" si="249"/>
        <v>7.0728294972055474</v>
      </c>
      <c r="BH254" s="63">
        <f t="shared" si="250"/>
        <v>64.246292632471821</v>
      </c>
      <c r="BI254" s="60" t="e">
        <f t="shared" si="255"/>
        <v>#NUM!</v>
      </c>
      <c r="BJ254" s="66" t="e">
        <f t="shared" si="251"/>
        <v>#NUM!</v>
      </c>
      <c r="BK254" s="63" t="e">
        <f t="shared" si="256"/>
        <v>#NUM!</v>
      </c>
      <c r="BL254" s="51">
        <f t="shared" si="252"/>
        <v>7.0728294972055474</v>
      </c>
      <c r="BM254" s="63">
        <f t="shared" si="253"/>
        <v>64.246292632471821</v>
      </c>
    </row>
    <row r="255" spans="14:65" x14ac:dyDescent="0.3">
      <c r="N255" s="11">
        <v>37</v>
      </c>
      <c r="O255" s="52">
        <f t="shared" si="254"/>
        <v>2344.2288153199238</v>
      </c>
      <c r="P255" s="50" t="str">
        <f t="shared" si="206"/>
        <v>23.3035714285714</v>
      </c>
      <c r="Q255" s="18" t="str">
        <f t="shared" si="207"/>
        <v>1+7.89065574058134i</v>
      </c>
      <c r="R255" s="18">
        <f t="shared" si="218"/>
        <v>7.9537694218759736</v>
      </c>
      <c r="S255" s="18">
        <f t="shared" si="219"/>
        <v>1.444736166804075</v>
      </c>
      <c r="T255" s="18" t="str">
        <f t="shared" si="208"/>
        <v>1+0.0147292240490852i</v>
      </c>
      <c r="U255" s="18">
        <f t="shared" si="220"/>
        <v>1.0001084691377673</v>
      </c>
      <c r="V255" s="18">
        <f t="shared" si="221"/>
        <v>1.4728159019129191E-2</v>
      </c>
      <c r="W255" s="32" t="str">
        <f t="shared" si="209"/>
        <v>1-0.0360047698977638i</v>
      </c>
      <c r="X255" s="18">
        <f t="shared" si="222"/>
        <v>1.000647961800448</v>
      </c>
      <c r="Y255" s="18">
        <f t="shared" si="223"/>
        <v>-3.5989223805212134E-2</v>
      </c>
      <c r="Z255" s="32" t="str">
        <f t="shared" si="210"/>
        <v>0.999978018365046+0.0176710183222887i</v>
      </c>
      <c r="AA255" s="18">
        <f t="shared" si="224"/>
        <v>1.0001341420538701</v>
      </c>
      <c r="AB255" s="18">
        <f t="shared" si="225"/>
        <v>1.7669567645790557E-2</v>
      </c>
      <c r="AC255" s="68" t="str">
        <f t="shared" si="226"/>
        <v>0.255114638866675-2.92057981718354i</v>
      </c>
      <c r="AD255" s="66">
        <f t="shared" si="227"/>
        <v>9.342393095851742</v>
      </c>
      <c r="AE255" s="63">
        <f t="shared" si="228"/>
        <v>-85.007845799903464</v>
      </c>
      <c r="AF255" s="51" t="e">
        <f t="shared" si="229"/>
        <v>#NUM!</v>
      </c>
      <c r="AG255" s="51" t="str">
        <f t="shared" si="211"/>
        <v>1-11.0469180368139i</v>
      </c>
      <c r="AH255" s="51">
        <f t="shared" si="230"/>
        <v>11.092087184659354</v>
      </c>
      <c r="AI255" s="51">
        <f t="shared" si="231"/>
        <v>-1.4805193936314671</v>
      </c>
      <c r="AJ255" s="51" t="str">
        <f t="shared" si="212"/>
        <v>1+0.0147292240490852i</v>
      </c>
      <c r="AK255" s="51">
        <f t="shared" si="232"/>
        <v>1.0001084691377673</v>
      </c>
      <c r="AL255" s="51">
        <f t="shared" si="233"/>
        <v>1.4728159019129191E-2</v>
      </c>
      <c r="AM255" s="51" t="e">
        <f t="shared" si="213"/>
        <v>#NUM!</v>
      </c>
      <c r="AN255" s="51" t="e">
        <f t="shared" si="234"/>
        <v>#NUM!</v>
      </c>
      <c r="AO255" s="51" t="e">
        <f t="shared" si="235"/>
        <v>#NUM!</v>
      </c>
      <c r="AP255" s="60" t="e">
        <f t="shared" si="236"/>
        <v>#NUM!</v>
      </c>
      <c r="AQ255" s="51" t="e">
        <f t="shared" si="237"/>
        <v>#NUM!</v>
      </c>
      <c r="AR255" s="63" t="e">
        <f t="shared" si="238"/>
        <v>#NUM!</v>
      </c>
      <c r="AS255" s="32" t="str">
        <f t="shared" si="214"/>
        <v>-0.000170731707317073</v>
      </c>
      <c r="AT255" s="32" t="str">
        <f t="shared" si="215"/>
        <v>0.000559710513865236i</v>
      </c>
      <c r="AU255" s="32">
        <f t="shared" si="239"/>
        <v>5.59710513865236E-4</v>
      </c>
      <c r="AV255" s="32">
        <f t="shared" si="240"/>
        <v>1.5707963267948966</v>
      </c>
      <c r="AW255" s="32" t="str">
        <f t="shared" si="216"/>
        <v>1+0.119167174780283i</v>
      </c>
      <c r="AX255" s="32">
        <f t="shared" si="241"/>
        <v>1.0070753772906547</v>
      </c>
      <c r="AY255" s="32">
        <f t="shared" si="242"/>
        <v>0.11860784252973051</v>
      </c>
      <c r="AZ255" s="32" t="str">
        <f t="shared" si="217"/>
        <v>1+2.26417632082538i</v>
      </c>
      <c r="BA255" s="32">
        <f t="shared" si="243"/>
        <v>2.4751756325130456</v>
      </c>
      <c r="BB255" s="32">
        <f t="shared" si="244"/>
        <v>1.1548981167487076</v>
      </c>
      <c r="BC255" s="60" t="str">
        <f t="shared" si="245"/>
        <v>-0.645142883796232+0.381915588599848i</v>
      </c>
      <c r="BD255" s="51">
        <f t="shared" si="246"/>
        <v>-2.5021047708933741</v>
      </c>
      <c r="BE255" s="63">
        <f t="shared" si="247"/>
        <v>149.37505906320209</v>
      </c>
      <c r="BF255" s="60" t="str">
        <f t="shared" si="248"/>
        <v>0.950829566115407+1.98162354307806i</v>
      </c>
      <c r="BG255" s="66">
        <f t="shared" si="249"/>
        <v>6.840288324958351</v>
      </c>
      <c r="BH255" s="63">
        <f t="shared" si="250"/>
        <v>64.367213263298581</v>
      </c>
      <c r="BI255" s="60" t="e">
        <f t="shared" si="255"/>
        <v>#NUM!</v>
      </c>
      <c r="BJ255" s="66" t="e">
        <f t="shared" si="251"/>
        <v>#NUM!</v>
      </c>
      <c r="BK255" s="63" t="e">
        <f t="shared" si="256"/>
        <v>#NUM!</v>
      </c>
      <c r="BL255" s="51">
        <f t="shared" si="252"/>
        <v>6.840288324958351</v>
      </c>
      <c r="BM255" s="63">
        <f t="shared" si="253"/>
        <v>64.367213263298581</v>
      </c>
    </row>
    <row r="256" spans="14:65" x14ac:dyDescent="0.3">
      <c r="N256" s="11">
        <v>38</v>
      </c>
      <c r="O256" s="52">
        <f t="shared" si="254"/>
        <v>2398.8329190194918</v>
      </c>
      <c r="P256" s="50" t="str">
        <f t="shared" si="206"/>
        <v>23.3035714285714</v>
      </c>
      <c r="Q256" s="18" t="str">
        <f t="shared" si="207"/>
        <v>1+8.07445272383677i</v>
      </c>
      <c r="R256" s="18">
        <f t="shared" si="218"/>
        <v>8.1361407798461194</v>
      </c>
      <c r="S256" s="18">
        <f t="shared" si="219"/>
        <v>1.4475763575719638</v>
      </c>
      <c r="T256" s="18" t="str">
        <f t="shared" si="208"/>
        <v>1+0.015072311751162i</v>
      </c>
      <c r="U256" s="18">
        <f t="shared" si="220"/>
        <v>1.0001135808404584</v>
      </c>
      <c r="V256" s="18">
        <f t="shared" si="221"/>
        <v>1.5071170558003118E-2</v>
      </c>
      <c r="W256" s="32" t="str">
        <f t="shared" si="209"/>
        <v>1-0.0368434287250627i</v>
      </c>
      <c r="X256" s="18">
        <f t="shared" si="222"/>
        <v>1.0006784889464841</v>
      </c>
      <c r="Y256" s="18">
        <f t="shared" si="223"/>
        <v>-3.6826771396718763E-2</v>
      </c>
      <c r="Z256" s="32" t="str">
        <f t="shared" si="210"/>
        <v>0.999976982402507+0.0180826292156628i</v>
      </c>
      <c r="AA256" s="18">
        <f t="shared" si="224"/>
        <v>1.0001404635420841</v>
      </c>
      <c r="AB256" s="18">
        <f t="shared" si="225"/>
        <v>1.8081074799493602E-2</v>
      </c>
      <c r="AC256" s="68" t="str">
        <f t="shared" si="226"/>
        <v>0.238705590807613-2.85611304123753i</v>
      </c>
      <c r="AD256" s="66">
        <f t="shared" si="227"/>
        <v>9.1457384128310686</v>
      </c>
      <c r="AE256" s="63">
        <f t="shared" si="228"/>
        <v>-85.222489195695061</v>
      </c>
      <c r="AF256" s="51" t="e">
        <f t="shared" si="229"/>
        <v>#NUM!</v>
      </c>
      <c r="AG256" s="51" t="str">
        <f t="shared" si="211"/>
        <v>1-11.3042338133715i</v>
      </c>
      <c r="AH256" s="51">
        <f t="shared" si="230"/>
        <v>11.348378831682151</v>
      </c>
      <c r="AI256" s="51">
        <f t="shared" si="231"/>
        <v>-1.4825635759029676</v>
      </c>
      <c r="AJ256" s="51" t="str">
        <f t="shared" si="212"/>
        <v>1+0.015072311751162i</v>
      </c>
      <c r="AK256" s="51">
        <f t="shared" si="232"/>
        <v>1.0001135808404584</v>
      </c>
      <c r="AL256" s="51">
        <f t="shared" si="233"/>
        <v>1.5071170558003118E-2</v>
      </c>
      <c r="AM256" s="51" t="e">
        <f t="shared" si="213"/>
        <v>#NUM!</v>
      </c>
      <c r="AN256" s="51" t="e">
        <f t="shared" si="234"/>
        <v>#NUM!</v>
      </c>
      <c r="AO256" s="51" t="e">
        <f t="shared" si="235"/>
        <v>#NUM!</v>
      </c>
      <c r="AP256" s="60" t="e">
        <f t="shared" si="236"/>
        <v>#NUM!</v>
      </c>
      <c r="AQ256" s="51" t="e">
        <f t="shared" si="237"/>
        <v>#NUM!</v>
      </c>
      <c r="AR256" s="63" t="e">
        <f t="shared" si="238"/>
        <v>#NUM!</v>
      </c>
      <c r="AS256" s="32" t="str">
        <f t="shared" si="214"/>
        <v>-0.000170731707317073</v>
      </c>
      <c r="AT256" s="32" t="str">
        <f t="shared" si="215"/>
        <v>0.000572747846544156i</v>
      </c>
      <c r="AU256" s="32">
        <f t="shared" si="239"/>
        <v>5.7274784654415603E-4</v>
      </c>
      <c r="AV256" s="32">
        <f t="shared" si="240"/>
        <v>1.5707963267948966</v>
      </c>
      <c r="AW256" s="32" t="str">
        <f t="shared" si="216"/>
        <v>1+0.121942934862559i</v>
      </c>
      <c r="AX256" s="32">
        <f t="shared" si="241"/>
        <v>1.0074076033874741</v>
      </c>
      <c r="AY256" s="32">
        <f t="shared" si="242"/>
        <v>0.12134383731759715</v>
      </c>
      <c r="AZ256" s="32" t="str">
        <f t="shared" si="217"/>
        <v>1+2.31691576238862i</v>
      </c>
      <c r="BA256" s="32">
        <f t="shared" si="243"/>
        <v>2.5235091935645571</v>
      </c>
      <c r="BB256" s="32">
        <f t="shared" si="244"/>
        <v>1.1633417580453458</v>
      </c>
      <c r="BC256" s="60" t="str">
        <f t="shared" si="245"/>
        <v>-0.644717439398761+0.376711009516345i</v>
      </c>
      <c r="BD256" s="51">
        <f t="shared" si="246"/>
        <v>-2.5369922952615074</v>
      </c>
      <c r="BE256" s="63">
        <f t="shared" si="247"/>
        <v>149.70208311910739</v>
      </c>
      <c r="BF256" s="60" t="str">
        <f t="shared" si="248"/>
        <v>0.922031569781735+1.9313089106704i</v>
      </c>
      <c r="BG256" s="66">
        <f t="shared" si="249"/>
        <v>6.608746117569563</v>
      </c>
      <c r="BH256" s="63">
        <f t="shared" si="250"/>
        <v>64.479593923412352</v>
      </c>
      <c r="BI256" s="60" t="e">
        <f t="shared" si="255"/>
        <v>#NUM!</v>
      </c>
      <c r="BJ256" s="66" t="e">
        <f t="shared" si="251"/>
        <v>#NUM!</v>
      </c>
      <c r="BK256" s="63" t="e">
        <f t="shared" si="256"/>
        <v>#NUM!</v>
      </c>
      <c r="BL256" s="51">
        <f t="shared" si="252"/>
        <v>6.608746117569563</v>
      </c>
      <c r="BM256" s="63">
        <f t="shared" si="253"/>
        <v>64.479593923412352</v>
      </c>
    </row>
    <row r="257" spans="14:65" x14ac:dyDescent="0.3">
      <c r="N257" s="11">
        <v>39</v>
      </c>
      <c r="O257" s="52">
        <f t="shared" si="254"/>
        <v>2454.7089156850338</v>
      </c>
      <c r="P257" s="50" t="str">
        <f t="shared" si="206"/>
        <v>23.3035714285714</v>
      </c>
      <c r="Q257" s="18" t="str">
        <f t="shared" si="207"/>
        <v>1+8.2625308888044i</v>
      </c>
      <c r="R257" s="18">
        <f t="shared" si="218"/>
        <v>8.3228250425229309</v>
      </c>
      <c r="S257" s="18">
        <f t="shared" si="219"/>
        <v>1.4503538297504937</v>
      </c>
      <c r="T257" s="18" t="str">
        <f t="shared" si="208"/>
        <v>1+0.0154233909924349i</v>
      </c>
      <c r="U257" s="18">
        <f t="shared" si="220"/>
        <v>1.0001189334222733</v>
      </c>
      <c r="V257" s="18">
        <f t="shared" si="221"/>
        <v>1.542216818978776E-2</v>
      </c>
      <c r="W257" s="32" t="str">
        <f t="shared" si="209"/>
        <v>1-0.037701622425952i</v>
      </c>
      <c r="X257" s="18">
        <f t="shared" si="222"/>
        <v>1.0007104537944775</v>
      </c>
      <c r="Y257" s="18">
        <f t="shared" si="223"/>
        <v>-3.76837744613676E-2</v>
      </c>
      <c r="Z257" s="32" t="str">
        <f t="shared" si="210"/>
        <v>0.999975897616557+0.018503827758399i</v>
      </c>
      <c r="AA257" s="18">
        <f t="shared" si="224"/>
        <v>1.0001470829111843</v>
      </c>
      <c r="AB257" s="18">
        <f t="shared" si="225"/>
        <v>1.8502162184597451E-2</v>
      </c>
      <c r="AC257" s="68" t="str">
        <f t="shared" si="226"/>
        <v>0.223013265284168-2.79298027548639i</v>
      </c>
      <c r="AD257" s="66">
        <f t="shared" si="227"/>
        <v>8.9489586497630125</v>
      </c>
      <c r="AE257" s="63">
        <f t="shared" si="228"/>
        <v>-85.434745134926288</v>
      </c>
      <c r="AF257" s="51" t="e">
        <f t="shared" si="229"/>
        <v>#NUM!</v>
      </c>
      <c r="AG257" s="51" t="str">
        <f t="shared" si="211"/>
        <v>1-11.5675432443262i</v>
      </c>
      <c r="AH257" s="51">
        <f t="shared" si="230"/>
        <v>11.610687176448977</v>
      </c>
      <c r="AI257" s="51">
        <f t="shared" si="231"/>
        <v>-1.4845619415458504</v>
      </c>
      <c r="AJ257" s="51" t="str">
        <f t="shared" si="212"/>
        <v>1+0.0154233909924349i</v>
      </c>
      <c r="AK257" s="51">
        <f t="shared" si="232"/>
        <v>1.0001189334222733</v>
      </c>
      <c r="AL257" s="51">
        <f t="shared" si="233"/>
        <v>1.542216818978776E-2</v>
      </c>
      <c r="AM257" s="51" t="e">
        <f t="shared" si="213"/>
        <v>#NUM!</v>
      </c>
      <c r="AN257" s="51" t="e">
        <f t="shared" si="234"/>
        <v>#NUM!</v>
      </c>
      <c r="AO257" s="51" t="e">
        <f t="shared" si="235"/>
        <v>#NUM!</v>
      </c>
      <c r="AP257" s="60" t="e">
        <f t="shared" si="236"/>
        <v>#NUM!</v>
      </c>
      <c r="AQ257" s="51" t="e">
        <f t="shared" si="237"/>
        <v>#NUM!</v>
      </c>
      <c r="AR257" s="63" t="e">
        <f t="shared" si="238"/>
        <v>#NUM!</v>
      </c>
      <c r="AS257" s="32" t="str">
        <f t="shared" si="214"/>
        <v>-0.000170731707317073</v>
      </c>
      <c r="AT257" s="32" t="str">
        <f t="shared" si="215"/>
        <v>0.000586088857712528i</v>
      </c>
      <c r="AU257" s="32">
        <f t="shared" si="239"/>
        <v>5.8608885771252797E-4</v>
      </c>
      <c r="AV257" s="32">
        <f t="shared" si="240"/>
        <v>1.5707963267948966</v>
      </c>
      <c r="AW257" s="32" t="str">
        <f t="shared" si="216"/>
        <v>1+0.124783350703005i</v>
      </c>
      <c r="AX257" s="32">
        <f t="shared" si="241"/>
        <v>1.0077553694288457</v>
      </c>
      <c r="AY257" s="32">
        <f t="shared" si="242"/>
        <v>0.12414167263098141</v>
      </c>
      <c r="AZ257" s="32" t="str">
        <f t="shared" si="217"/>
        <v>1+2.37088366335709i</v>
      </c>
      <c r="BA257" s="32">
        <f t="shared" si="243"/>
        <v>2.5731477503582134</v>
      </c>
      <c r="BB257" s="32">
        <f t="shared" si="244"/>
        <v>1.171653095419124</v>
      </c>
      <c r="BC257" s="60" t="str">
        <f t="shared" si="245"/>
        <v>-0.644272545425333+0.371701351242611i</v>
      </c>
      <c r="BD257" s="51">
        <f t="shared" si="246"/>
        <v>-2.570793566552894</v>
      </c>
      <c r="BE257" s="63">
        <f t="shared" si="247"/>
        <v>150.01798351750458</v>
      </c>
      <c r="BF257" s="60" t="str">
        <f t="shared" si="248"/>
        <v>0.894473218304005+1.88233484346152i</v>
      </c>
      <c r="BG257" s="66">
        <f t="shared" si="249"/>
        <v>6.3781650832101295</v>
      </c>
      <c r="BH257" s="63">
        <f t="shared" si="250"/>
        <v>64.583238382578315</v>
      </c>
      <c r="BI257" s="60" t="e">
        <f t="shared" si="255"/>
        <v>#NUM!</v>
      </c>
      <c r="BJ257" s="66" t="e">
        <f t="shared" si="251"/>
        <v>#NUM!</v>
      </c>
      <c r="BK257" s="63" t="e">
        <f t="shared" si="256"/>
        <v>#NUM!</v>
      </c>
      <c r="BL257" s="51">
        <f t="shared" si="252"/>
        <v>6.3781650832101295</v>
      </c>
      <c r="BM257" s="63">
        <f t="shared" si="253"/>
        <v>64.583238382578315</v>
      </c>
    </row>
    <row r="258" spans="14:65" x14ac:dyDescent="0.3">
      <c r="N258" s="11">
        <v>40</v>
      </c>
      <c r="O258" s="52">
        <f t="shared" si="254"/>
        <v>2511.8864315095811</v>
      </c>
      <c r="P258" s="50" t="str">
        <f t="shared" si="206"/>
        <v>23.3035714285714</v>
      </c>
      <c r="Q258" s="18" t="str">
        <f t="shared" si="207"/>
        <v>1+8.45498995701684i</v>
      </c>
      <c r="R258" s="18">
        <f t="shared" si="218"/>
        <v>8.5139212571679117</v>
      </c>
      <c r="S258" s="18">
        <f t="shared" si="219"/>
        <v>1.4530698844891416</v>
      </c>
      <c r="T258" s="18" t="str">
        <f t="shared" si="208"/>
        <v>1+0.0157826479197648i</v>
      </c>
      <c r="U258" s="18">
        <f t="shared" si="220"/>
        <v>1.0001245382327939</v>
      </c>
      <c r="V258" s="18">
        <f t="shared" si="221"/>
        <v>1.5781337671933647E-2</v>
      </c>
      <c r="W258" s="32" t="str">
        <f t="shared" si="209"/>
        <v>1-0.0385798060260917i</v>
      </c>
      <c r="X258" s="18">
        <f t="shared" si="222"/>
        <v>1.0007439240050426</v>
      </c>
      <c r="Y258" s="18">
        <f t="shared" si="223"/>
        <v>-3.8560682355216827E-2</v>
      </c>
      <c r="Z258" s="32" t="str">
        <f t="shared" si="210"/>
        <v>0.999974761706221+0.0189348372755398i</v>
      </c>
      <c r="AA258" s="18">
        <f t="shared" si="224"/>
        <v>1.000154014195846</v>
      </c>
      <c r="AB258" s="18">
        <f t="shared" si="225"/>
        <v>1.8933052595791321E-2</v>
      </c>
      <c r="AC258" s="68" t="str">
        <f t="shared" si="226"/>
        <v>0.208007285181287-2.73115973899523i</v>
      </c>
      <c r="AD258" s="66">
        <f t="shared" si="227"/>
        <v>8.7520603596909581</v>
      </c>
      <c r="AE258" s="63">
        <f t="shared" si="228"/>
        <v>-85.644716036253811</v>
      </c>
      <c r="AF258" s="51" t="e">
        <f t="shared" si="229"/>
        <v>#NUM!</v>
      </c>
      <c r="AG258" s="51" t="str">
        <f t="shared" si="211"/>
        <v>1-11.8369859398236i</v>
      </c>
      <c r="AH258" s="51">
        <f t="shared" si="230"/>
        <v>11.879151322362283</v>
      </c>
      <c r="AI258" s="51">
        <f t="shared" si="231"/>
        <v>-1.4865154862413987</v>
      </c>
      <c r="AJ258" s="51" t="str">
        <f t="shared" si="212"/>
        <v>1+0.0157826479197648i</v>
      </c>
      <c r="AK258" s="51">
        <f t="shared" si="232"/>
        <v>1.0001245382327939</v>
      </c>
      <c r="AL258" s="51">
        <f t="shared" si="233"/>
        <v>1.5781337671933647E-2</v>
      </c>
      <c r="AM258" s="51" t="e">
        <f t="shared" si="213"/>
        <v>#NUM!</v>
      </c>
      <c r="AN258" s="51" t="e">
        <f t="shared" si="234"/>
        <v>#NUM!</v>
      </c>
      <c r="AO258" s="51" t="e">
        <f t="shared" si="235"/>
        <v>#NUM!</v>
      </c>
      <c r="AP258" s="60" t="e">
        <f t="shared" si="236"/>
        <v>#NUM!</v>
      </c>
      <c r="AQ258" s="51" t="e">
        <f t="shared" si="237"/>
        <v>#NUM!</v>
      </c>
      <c r="AR258" s="63" t="e">
        <f t="shared" si="238"/>
        <v>#NUM!</v>
      </c>
      <c r="AS258" s="32" t="str">
        <f t="shared" si="214"/>
        <v>-0.000170731707317073</v>
      </c>
      <c r="AT258" s="32" t="str">
        <f t="shared" si="215"/>
        <v>0.000599740620951061i</v>
      </c>
      <c r="AU258" s="32">
        <f t="shared" si="239"/>
        <v>5.9974062095106105E-4</v>
      </c>
      <c r="AV258" s="32">
        <f t="shared" si="240"/>
        <v>1.5707963267948966</v>
      </c>
      <c r="AW258" s="32" t="str">
        <f t="shared" si="216"/>
        <v>1+0.127689928327697i</v>
      </c>
      <c r="AX258" s="32">
        <f t="shared" si="241"/>
        <v>1.0081193965976116</v>
      </c>
      <c r="AY258" s="32">
        <f t="shared" si="242"/>
        <v>0.12700265661639853</v>
      </c>
      <c r="AZ258" s="32" t="str">
        <f t="shared" si="217"/>
        <v>1+2.42610863822625i</v>
      </c>
      <c r="BA258" s="32">
        <f t="shared" si="243"/>
        <v>2.6241194950832605</v>
      </c>
      <c r="BB258" s="32">
        <f t="shared" si="244"/>
        <v>1.1798319415332976</v>
      </c>
      <c r="BC258" s="60" t="str">
        <f t="shared" si="245"/>
        <v>-0.643807341864951+0.366883623812894i</v>
      </c>
      <c r="BD258" s="51">
        <f t="shared" si="246"/>
        <v>-2.6035528955928822</v>
      </c>
      <c r="BE258" s="63">
        <f t="shared" si="247"/>
        <v>150.32267457351469</v>
      </c>
      <c r="BF258" s="60" t="str">
        <f t="shared" si="248"/>
        <v>0.868101164893339+1.83465515833789i</v>
      </c>
      <c r="BG258" s="66">
        <f t="shared" si="249"/>
        <v>6.1485074640980972</v>
      </c>
      <c r="BH258" s="63">
        <f t="shared" si="250"/>
        <v>64.677958537260949</v>
      </c>
      <c r="BI258" s="60" t="e">
        <f t="shared" si="255"/>
        <v>#NUM!</v>
      </c>
      <c r="BJ258" s="66" t="e">
        <f t="shared" si="251"/>
        <v>#NUM!</v>
      </c>
      <c r="BK258" s="63" t="e">
        <f t="shared" si="256"/>
        <v>#NUM!</v>
      </c>
      <c r="BL258" s="51">
        <f t="shared" si="252"/>
        <v>6.1485074640980972</v>
      </c>
      <c r="BM258" s="63">
        <f t="shared" si="253"/>
        <v>64.677958537260949</v>
      </c>
    </row>
    <row r="259" spans="14:65" x14ac:dyDescent="0.3">
      <c r="N259" s="11">
        <v>41</v>
      </c>
      <c r="O259" s="52">
        <f t="shared" si="254"/>
        <v>2570.3957827688669</v>
      </c>
      <c r="P259" s="50" t="str">
        <f t="shared" si="206"/>
        <v>23.3035714285714</v>
      </c>
      <c r="Q259" s="18" t="str">
        <f t="shared" si="207"/>
        <v>1+8.65193197281947i</v>
      </c>
      <c r="R259" s="18">
        <f t="shared" si="218"/>
        <v>8.7095308060937384</v>
      </c>
      <c r="S259" s="18">
        <f t="shared" si="219"/>
        <v>1.4557258015002388</v>
      </c>
      <c r="T259" s="18" t="str">
        <f t="shared" si="208"/>
        <v>1+0.0161502730159297i</v>
      </c>
      <c r="U259" s="18">
        <f t="shared" si="220"/>
        <v>1.0001304071562314</v>
      </c>
      <c r="V259" s="18">
        <f t="shared" si="221"/>
        <v>1.6148869069970765E-2</v>
      </c>
      <c r="W259" s="32" t="str">
        <f t="shared" si="209"/>
        <v>1-0.0394784451500504i</v>
      </c>
      <c r="X259" s="18">
        <f t="shared" si="222"/>
        <v>1.0007789704182763</v>
      </c>
      <c r="Y259" s="18">
        <f t="shared" si="223"/>
        <v>-3.9457954628851231E-2</v>
      </c>
      <c r="Z259" s="32" t="str">
        <f t="shared" si="210"/>
        <v>0.99997357226208+0.0193758862940363i</v>
      </c>
      <c r="AA259" s="18">
        <f t="shared" si="224"/>
        <v>1.0001612720917885</v>
      </c>
      <c r="AB259" s="18">
        <f t="shared" si="225"/>
        <v>1.937397399176383E-2</v>
      </c>
      <c r="AC259" s="68" t="str">
        <f t="shared" si="226"/>
        <v>0.193658480378478-2.67062960273427i</v>
      </c>
      <c r="AD259" s="66">
        <f t="shared" si="227"/>
        <v>8.5550498677745548</v>
      </c>
      <c r="AE259" s="63">
        <f t="shared" si="228"/>
        <v>-85.852503723220195</v>
      </c>
      <c r="AF259" s="51" t="e">
        <f t="shared" si="229"/>
        <v>#NUM!</v>
      </c>
      <c r="AG259" s="51" t="str">
        <f t="shared" si="211"/>
        <v>1-12.1127047619473i</v>
      </c>
      <c r="AH259" s="51">
        <f t="shared" si="230"/>
        <v>12.153913635125965</v>
      </c>
      <c r="AI259" s="51">
        <f t="shared" si="231"/>
        <v>-1.4884251861086646</v>
      </c>
      <c r="AJ259" s="51" t="str">
        <f t="shared" si="212"/>
        <v>1+0.0161502730159297i</v>
      </c>
      <c r="AK259" s="51">
        <f t="shared" si="232"/>
        <v>1.0001304071562314</v>
      </c>
      <c r="AL259" s="51">
        <f t="shared" si="233"/>
        <v>1.6148869069970765E-2</v>
      </c>
      <c r="AM259" s="51" t="e">
        <f t="shared" si="213"/>
        <v>#NUM!</v>
      </c>
      <c r="AN259" s="51" t="e">
        <f t="shared" si="234"/>
        <v>#NUM!</v>
      </c>
      <c r="AO259" s="51" t="e">
        <f t="shared" si="235"/>
        <v>#NUM!</v>
      </c>
      <c r="AP259" s="60" t="e">
        <f t="shared" si="236"/>
        <v>#NUM!</v>
      </c>
      <c r="AQ259" s="51" t="e">
        <f t="shared" si="237"/>
        <v>#NUM!</v>
      </c>
      <c r="AR259" s="63" t="e">
        <f t="shared" si="238"/>
        <v>#NUM!</v>
      </c>
      <c r="AS259" s="32" t="str">
        <f t="shared" si="214"/>
        <v>-0.000170731707317073</v>
      </c>
      <c r="AT259" s="32" t="str">
        <f t="shared" si="215"/>
        <v>0.000613710374605329i</v>
      </c>
      <c r="AU259" s="32">
        <f t="shared" si="239"/>
        <v>6.1371037460532902E-4</v>
      </c>
      <c r="AV259" s="32">
        <f t="shared" si="240"/>
        <v>1.5707963267948966</v>
      </c>
      <c r="AW259" s="32" t="str">
        <f t="shared" si="216"/>
        <v>1+0.130664208842564i</v>
      </c>
      <c r="AX259" s="32">
        <f t="shared" si="241"/>
        <v>1.0085004390045911</v>
      </c>
      <c r="AY259" s="32">
        <f t="shared" si="242"/>
        <v>0.12992811876299079</v>
      </c>
      <c r="AZ259" s="32" t="str">
        <f t="shared" si="217"/>
        <v>1+2.48261996800871i</v>
      </c>
      <c r="BA259" s="32">
        <f t="shared" si="243"/>
        <v>2.6764532324618657</v>
      </c>
      <c r="BB259" s="32">
        <f t="shared" si="244"/>
        <v>1.1878782549758413</v>
      </c>
      <c r="BC259" s="60" t="str">
        <f t="shared" si="245"/>
        <v>-0.64332093344037+0.36225491642385i</v>
      </c>
      <c r="BD259" s="51">
        <f t="shared" si="246"/>
        <v>-2.6353142844957631</v>
      </c>
      <c r="BE259" s="63">
        <f t="shared" si="247"/>
        <v>150.61607774028693</v>
      </c>
      <c r="BF259" s="60" t="str">
        <f t="shared" si="248"/>
        <v>0.842864149171837+1.78822566552877i</v>
      </c>
      <c r="BG259" s="66">
        <f t="shared" si="249"/>
        <v>5.9197355832787899</v>
      </c>
      <c r="BH259" s="63">
        <f t="shared" si="250"/>
        <v>64.76357401706673</v>
      </c>
      <c r="BI259" s="60" t="e">
        <f t="shared" si="255"/>
        <v>#NUM!</v>
      </c>
      <c r="BJ259" s="66" t="e">
        <f t="shared" si="251"/>
        <v>#NUM!</v>
      </c>
      <c r="BK259" s="63" t="e">
        <f t="shared" si="256"/>
        <v>#NUM!</v>
      </c>
      <c r="BL259" s="51">
        <f t="shared" si="252"/>
        <v>5.9197355832787899</v>
      </c>
      <c r="BM259" s="63">
        <f t="shared" si="253"/>
        <v>64.76357401706673</v>
      </c>
    </row>
    <row r="260" spans="14:65" x14ac:dyDescent="0.3">
      <c r="N260" s="11">
        <v>42</v>
      </c>
      <c r="O260" s="52">
        <f t="shared" si="254"/>
        <v>2630.2679918953822</v>
      </c>
      <c r="P260" s="50" t="str">
        <f t="shared" si="206"/>
        <v>23.3035714285714</v>
      </c>
      <c r="Q260" s="18" t="str">
        <f t="shared" si="207"/>
        <v>1+8.85346135747595i</v>
      </c>
      <c r="R260" s="18">
        <f t="shared" si="218"/>
        <v>8.9097574606899315</v>
      </c>
      <c r="S260" s="18">
        <f t="shared" si="219"/>
        <v>1.4583228390288445</v>
      </c>
      <c r="T260" s="18" t="str">
        <f t="shared" si="208"/>
        <v>1+0.0165264612006218i</v>
      </c>
      <c r="U260" s="18">
        <f t="shared" si="220"/>
        <v>1.0001365526365966</v>
      </c>
      <c r="V260" s="18">
        <f t="shared" si="221"/>
        <v>1.6524956856516258E-2</v>
      </c>
      <c r="W260" s="32" t="str">
        <f t="shared" si="209"/>
        <v>1-0.0403980162681866i</v>
      </c>
      <c r="X260" s="18">
        <f t="shared" si="222"/>
        <v>1.0008156672027095</v>
      </c>
      <c r="Y260" s="18">
        <f t="shared" si="223"/>
        <v>-4.0376061245476789E-2</v>
      </c>
      <c r="Z260" s="32" t="str">
        <f t="shared" si="210"/>
        <v>0.999972326761163+0.019827208663916i</v>
      </c>
      <c r="AA260" s="18">
        <f t="shared" si="224"/>
        <v>1.0001688719868944</v>
      </c>
      <c r="AB260" s="18">
        <f t="shared" si="225"/>
        <v>1.9825159613662088E-2</v>
      </c>
      <c r="AC260" s="68" t="str">
        <f t="shared" si="226"/>
        <v>0.179938846878383-2.61136802379439i</v>
      </c>
      <c r="AD260" s="66">
        <f t="shared" si="227"/>
        <v>8.3579332826495722</v>
      </c>
      <c r="AE260" s="63">
        <f t="shared" si="228"/>
        <v>-86.05820943613837</v>
      </c>
      <c r="AF260" s="51" t="e">
        <f t="shared" si="229"/>
        <v>#NUM!</v>
      </c>
      <c r="AG260" s="51" t="str">
        <f t="shared" si="211"/>
        <v>1-12.3948459004664i</v>
      </c>
      <c r="AH260" s="51">
        <f t="shared" si="230"/>
        <v>12.435119818333424</v>
      </c>
      <c r="AI260" s="51">
        <f t="shared" si="231"/>
        <v>-1.4902919979481091</v>
      </c>
      <c r="AJ260" s="51" t="str">
        <f t="shared" si="212"/>
        <v>1+0.0165264612006218i</v>
      </c>
      <c r="AK260" s="51">
        <f t="shared" si="232"/>
        <v>1.0001365526365966</v>
      </c>
      <c r="AL260" s="51">
        <f t="shared" si="233"/>
        <v>1.6524956856516258E-2</v>
      </c>
      <c r="AM260" s="51" t="e">
        <f t="shared" si="213"/>
        <v>#NUM!</v>
      </c>
      <c r="AN260" s="51" t="e">
        <f t="shared" si="234"/>
        <v>#NUM!</v>
      </c>
      <c r="AO260" s="51" t="e">
        <f t="shared" si="235"/>
        <v>#NUM!</v>
      </c>
      <c r="AP260" s="60" t="e">
        <f t="shared" si="236"/>
        <v>#NUM!</v>
      </c>
      <c r="AQ260" s="51" t="e">
        <f t="shared" si="237"/>
        <v>#NUM!</v>
      </c>
      <c r="AR260" s="63" t="e">
        <f t="shared" si="238"/>
        <v>#NUM!</v>
      </c>
      <c r="AS260" s="32" t="str">
        <f t="shared" si="214"/>
        <v>-0.000170731707317073</v>
      </c>
      <c r="AT260" s="32" t="str">
        <f t="shared" si="215"/>
        <v>0.000628005525623629i</v>
      </c>
      <c r="AU260" s="32">
        <f t="shared" si="239"/>
        <v>6.2800552562362899E-4</v>
      </c>
      <c r="AV260" s="32">
        <f t="shared" si="240"/>
        <v>1.5707963267948966</v>
      </c>
      <c r="AW260" s="32" t="str">
        <f t="shared" si="216"/>
        <v>1+0.133707769250504i</v>
      </c>
      <c r="AX260" s="32">
        <f t="shared" si="241"/>
        <v>1.0088992851409628</v>
      </c>
      <c r="AY260" s="32">
        <f t="shared" si="242"/>
        <v>0.13291940978648409</v>
      </c>
      <c r="AZ260" s="32" t="str">
        <f t="shared" si="217"/>
        <v>1+2.54044761575958i</v>
      </c>
      <c r="BA260" s="32">
        <f t="shared" si="243"/>
        <v>2.7301783986433077</v>
      </c>
      <c r="BB260" s="32">
        <f t="shared" si="244"/>
        <v>1.1957921334141861</v>
      </c>
      <c r="BC260" s="60" t="str">
        <f t="shared" si="245"/>
        <v>-0.642812388425621+0.357812394423893i</v>
      </c>
      <c r="BD260" s="51">
        <f t="shared" si="246"/>
        <v>-2.6661213965368691</v>
      </c>
      <c r="BE260" s="63">
        <f t="shared" si="247"/>
        <v>150.89812122344216</v>
      </c>
      <c r="BF260" s="60" t="str">
        <f t="shared" si="248"/>
        <v>0.818712925383415+1.74300406608499i</v>
      </c>
      <c r="BG260" s="66">
        <f t="shared" si="249"/>
        <v>5.691811886112685</v>
      </c>
      <c r="BH260" s="63">
        <f t="shared" si="250"/>
        <v>64.839911787303734</v>
      </c>
      <c r="BI260" s="60" t="e">
        <f t="shared" si="255"/>
        <v>#NUM!</v>
      </c>
      <c r="BJ260" s="66" t="e">
        <f t="shared" si="251"/>
        <v>#NUM!</v>
      </c>
      <c r="BK260" s="63" t="e">
        <f t="shared" si="256"/>
        <v>#NUM!</v>
      </c>
      <c r="BL260" s="51">
        <f t="shared" si="252"/>
        <v>5.691811886112685</v>
      </c>
      <c r="BM260" s="63">
        <f t="shared" si="253"/>
        <v>64.839911787303734</v>
      </c>
    </row>
    <row r="261" spans="14:65" x14ac:dyDescent="0.3">
      <c r="N261" s="11">
        <v>43</v>
      </c>
      <c r="O261" s="52">
        <f t="shared" si="254"/>
        <v>2691.5348039269184</v>
      </c>
      <c r="P261" s="50" t="str">
        <f t="shared" si="206"/>
        <v>23.3035714285714</v>
      </c>
      <c r="Q261" s="18" t="str">
        <f t="shared" si="207"/>
        <v>1+9.05968496453361i</v>
      </c>
      <c r="R261" s="18">
        <f t="shared" si="218"/>
        <v>9.1147074366979197</v>
      </c>
      <c r="S261" s="18">
        <f t="shared" si="219"/>
        <v>1.4608622338549433</v>
      </c>
      <c r="T261" s="18" t="str">
        <f t="shared" si="208"/>
        <v>1+0.0169114119337961i</v>
      </c>
      <c r="U261" s="18">
        <f t="shared" si="220"/>
        <v>1.0001429877040555</v>
      </c>
      <c r="V261" s="18">
        <f t="shared" si="221"/>
        <v>1.6909800012491583E-2</v>
      </c>
      <c r="W261" s="32" t="str">
        <f t="shared" si="209"/>
        <v>1-0.0413390069492794i</v>
      </c>
      <c r="X261" s="18">
        <f t="shared" si="222"/>
        <v>1.0008540920111946</v>
      </c>
      <c r="Y261" s="18">
        <f t="shared" si="223"/>
        <v>-4.1315482802722146E-2</v>
      </c>
      <c r="Z261" s="32" t="str">
        <f t="shared" si="210"/>
        <v>0.999971022561597+0.0202890436822735i</v>
      </c>
      <c r="AA261" s="18">
        <f t="shared" si="224"/>
        <v>1.0001768299937901</v>
      </c>
      <c r="AB261" s="18">
        <f t="shared" si="225"/>
        <v>2.0286848106180293E-2</v>
      </c>
      <c r="AC261" s="68" t="str">
        <f t="shared" si="226"/>
        <v>0.166821506672743-2.5533531769415i</v>
      </c>
      <c r="AD261" s="66">
        <f t="shared" si="227"/>
        <v>8.1607165074983072</v>
      </c>
      <c r="AE261" s="63">
        <f t="shared" si="228"/>
        <v>-86.261933846064125</v>
      </c>
      <c r="AF261" s="51" t="e">
        <f t="shared" si="229"/>
        <v>#NUM!</v>
      </c>
      <c r="AG261" s="51" t="str">
        <f t="shared" si="211"/>
        <v>1-12.6835589503471i</v>
      </c>
      <c r="AH261" s="51">
        <f t="shared" si="230"/>
        <v>12.722918990818499</v>
      </c>
      <c r="AI261" s="51">
        <f t="shared" si="231"/>
        <v>-1.4921168594925749</v>
      </c>
      <c r="AJ261" s="51" t="str">
        <f t="shared" si="212"/>
        <v>1+0.0169114119337961i</v>
      </c>
      <c r="AK261" s="51">
        <f t="shared" si="232"/>
        <v>1.0001429877040555</v>
      </c>
      <c r="AL261" s="51">
        <f t="shared" si="233"/>
        <v>1.6909800012491583E-2</v>
      </c>
      <c r="AM261" s="51" t="e">
        <f t="shared" si="213"/>
        <v>#NUM!</v>
      </c>
      <c r="AN261" s="51" t="e">
        <f t="shared" si="234"/>
        <v>#NUM!</v>
      </c>
      <c r="AO261" s="51" t="e">
        <f t="shared" si="235"/>
        <v>#NUM!</v>
      </c>
      <c r="AP261" s="60" t="e">
        <f t="shared" si="236"/>
        <v>#NUM!</v>
      </c>
      <c r="AQ261" s="51" t="e">
        <f t="shared" si="237"/>
        <v>#NUM!</v>
      </c>
      <c r="AR261" s="63" t="e">
        <f t="shared" si="238"/>
        <v>#NUM!</v>
      </c>
      <c r="AS261" s="32" t="str">
        <f t="shared" si="214"/>
        <v>-0.000170731707317073</v>
      </c>
      <c r="AT261" s="32" t="str">
        <f t="shared" si="215"/>
        <v>0.000642633653484252i</v>
      </c>
      <c r="AU261" s="32">
        <f t="shared" si="239"/>
        <v>6.4263365348425205E-4</v>
      </c>
      <c r="AV261" s="32">
        <f t="shared" si="240"/>
        <v>1.5707963267948966</v>
      </c>
      <c r="AW261" s="32" t="str">
        <f t="shared" si="216"/>
        <v>1+0.136822223287533i</v>
      </c>
      <c r="AX261" s="32">
        <f t="shared" si="241"/>
        <v>1.0093167593899071</v>
      </c>
      <c r="AY261" s="32">
        <f t="shared" si="242"/>
        <v>0.1359779014712314</v>
      </c>
      <c r="AZ261" s="32" t="str">
        <f t="shared" si="217"/>
        <v>1+2.59962224246314i</v>
      </c>
      <c r="BA261" s="32">
        <f t="shared" si="243"/>
        <v>2.785325080400685</v>
      </c>
      <c r="BB261" s="32">
        <f t="shared" si="244"/>
        <v>1.2035738067196255</v>
      </c>
      <c r="BC261" s="60" t="str">
        <f t="shared" si="245"/>
        <v>-0.642280737449954+0.353553296255176i</v>
      </c>
      <c r="BD261" s="51">
        <f t="shared" si="246"/>
        <v>-2.6960175308837311</v>
      </c>
      <c r="BE261" s="63">
        <f t="shared" si="247"/>
        <v>151.16873959618155</v>
      </c>
      <c r="BF261" s="60" t="str">
        <f t="shared" si="248"/>
        <v>0.795600191883011+1.69894985502657i</v>
      </c>
      <c r="BG261" s="66">
        <f t="shared" si="249"/>
        <v>5.4646989766145673</v>
      </c>
      <c r="BH261" s="63">
        <f t="shared" si="250"/>
        <v>64.9068057501174</v>
      </c>
      <c r="BI261" s="60" t="e">
        <f t="shared" si="255"/>
        <v>#NUM!</v>
      </c>
      <c r="BJ261" s="66" t="e">
        <f t="shared" si="251"/>
        <v>#NUM!</v>
      </c>
      <c r="BK261" s="63" t="e">
        <f t="shared" si="256"/>
        <v>#NUM!</v>
      </c>
      <c r="BL261" s="51">
        <f t="shared" si="252"/>
        <v>5.4646989766145673</v>
      </c>
      <c r="BM261" s="63">
        <f t="shared" si="253"/>
        <v>64.9068057501174</v>
      </c>
    </row>
    <row r="262" spans="14:65" x14ac:dyDescent="0.3">
      <c r="N262" s="11">
        <v>44</v>
      </c>
      <c r="O262" s="52">
        <f t="shared" si="254"/>
        <v>2754.228703338169</v>
      </c>
      <c r="P262" s="50" t="str">
        <f t="shared" si="206"/>
        <v>23.3035714285714</v>
      </c>
      <c r="Q262" s="18" t="str">
        <f t="shared" si="207"/>
        <v>1+9.27071213647857i</v>
      </c>
      <c r="R262" s="18">
        <f t="shared" si="218"/>
        <v>9.324489450766249</v>
      </c>
      <c r="S262" s="18">
        <f t="shared" si="219"/>
        <v>1.46334520132542</v>
      </c>
      <c r="T262" s="18" t="str">
        <f t="shared" si="208"/>
        <v>1+0.0173053293214267i</v>
      </c>
      <c r="U262" s="18">
        <f t="shared" si="220"/>
        <v>1.0001497260025236</v>
      </c>
      <c r="V262" s="18">
        <f t="shared" si="221"/>
        <v>1.7303602130595088E-2</v>
      </c>
      <c r="W262" s="32" t="str">
        <f t="shared" si="209"/>
        <v>1-0.0423019161190431i</v>
      </c>
      <c r="X262" s="18">
        <f t="shared" si="222"/>
        <v>1.0008943261440453</v>
      </c>
      <c r="Y262" s="18">
        <f t="shared" si="223"/>
        <v>-4.2276710758137444E-2</v>
      </c>
      <c r="Z262" s="32" t="str">
        <f t="shared" si="210"/>
        <v>0.999969656896999+0.0207616362201486i</v>
      </c>
      <c r="AA262" s="18">
        <f t="shared" si="224"/>
        <v>1.0001851629839544</v>
      </c>
      <c r="AB262" s="18">
        <f t="shared" si="225"/>
        <v>2.0759283641328702E-2</v>
      </c>
      <c r="AC262" s="68" t="str">
        <f t="shared" si="226"/>
        <v>0.154280668399497-2.49656328366237i</v>
      </c>
      <c r="AD262" s="66">
        <f t="shared" si="227"/>
        <v>7.9634052508396556</v>
      </c>
      <c r="AE262" s="63">
        <f t="shared" si="228"/>
        <v>-86.463777070711359</v>
      </c>
      <c r="AF262" s="51" t="e">
        <f t="shared" si="229"/>
        <v>#NUM!</v>
      </c>
      <c r="AG262" s="51" t="str">
        <f t="shared" si="211"/>
        <v>1-12.9789969910701i</v>
      </c>
      <c r="AH262" s="51">
        <f t="shared" si="230"/>
        <v>13.017463765811168</v>
      </c>
      <c r="AI262" s="51">
        <f t="shared" si="231"/>
        <v>-1.4939006896646301</v>
      </c>
      <c r="AJ262" s="51" t="str">
        <f t="shared" si="212"/>
        <v>1+0.0173053293214267i</v>
      </c>
      <c r="AK262" s="51">
        <f t="shared" si="232"/>
        <v>1.0001497260025236</v>
      </c>
      <c r="AL262" s="51">
        <f t="shared" si="233"/>
        <v>1.7303602130595088E-2</v>
      </c>
      <c r="AM262" s="51" t="e">
        <f t="shared" si="213"/>
        <v>#NUM!</v>
      </c>
      <c r="AN262" s="51" t="e">
        <f t="shared" si="234"/>
        <v>#NUM!</v>
      </c>
      <c r="AO262" s="51" t="e">
        <f t="shared" si="235"/>
        <v>#NUM!</v>
      </c>
      <c r="AP262" s="60" t="e">
        <f t="shared" si="236"/>
        <v>#NUM!</v>
      </c>
      <c r="AQ262" s="51" t="e">
        <f t="shared" si="237"/>
        <v>#NUM!</v>
      </c>
      <c r="AR262" s="63" t="e">
        <f t="shared" si="238"/>
        <v>#NUM!</v>
      </c>
      <c r="AS262" s="32" t="str">
        <f t="shared" si="214"/>
        <v>-0.000170731707317073</v>
      </c>
      <c r="AT262" s="32" t="str">
        <f t="shared" si="215"/>
        <v>0.000657602514214213i</v>
      </c>
      <c r="AU262" s="32">
        <f t="shared" si="239"/>
        <v>6.5760251421421295E-4</v>
      </c>
      <c r="AV262" s="32">
        <f t="shared" si="240"/>
        <v>1.5707963267948966</v>
      </c>
      <c r="AW262" s="32" t="str">
        <f t="shared" si="216"/>
        <v>1+0.140009222278406i</v>
      </c>
      <c r="AX262" s="32">
        <f t="shared" si="241"/>
        <v>1.0097537235994747</v>
      </c>
      <c r="AY262" s="32">
        <f t="shared" si="242"/>
        <v>0.13910498646709252</v>
      </c>
      <c r="AZ262" s="32" t="str">
        <f t="shared" si="217"/>
        <v>1+2.66017522328971i</v>
      </c>
      <c r="BA262" s="32">
        <f t="shared" si="243"/>
        <v>2.8419240346294372</v>
      </c>
      <c r="BB262" s="32">
        <f t="shared" si="244"/>
        <v>1.2112236300957577</v>
      </c>
      <c r="BC262" s="60" t="str">
        <f t="shared" si="245"/>
        <v>-0.641724972291199+0.349474930342296i</v>
      </c>
      <c r="BD262" s="51">
        <f t="shared" si="246"/>
        <v>-2.7250456020295948</v>
      </c>
      <c r="BE262" s="63">
        <f t="shared" si="247"/>
        <v>151.42787341721288</v>
      </c>
      <c r="BF262" s="60" t="str">
        <f t="shared" si="248"/>
        <v>0.773480521999306+1.65602422987354i</v>
      </c>
      <c r="BG262" s="66">
        <f t="shared" si="249"/>
        <v>5.2383596488100785</v>
      </c>
      <c r="BH262" s="63">
        <f t="shared" si="250"/>
        <v>64.964096346501577</v>
      </c>
      <c r="BI262" s="60" t="e">
        <f t="shared" si="255"/>
        <v>#NUM!</v>
      </c>
      <c r="BJ262" s="66" t="e">
        <f t="shared" si="251"/>
        <v>#NUM!</v>
      </c>
      <c r="BK262" s="63" t="e">
        <f t="shared" si="256"/>
        <v>#NUM!</v>
      </c>
      <c r="BL262" s="51">
        <f t="shared" si="252"/>
        <v>5.2383596488100785</v>
      </c>
      <c r="BM262" s="63">
        <f t="shared" si="253"/>
        <v>64.964096346501577</v>
      </c>
    </row>
    <row r="263" spans="14:65" x14ac:dyDescent="0.3">
      <c r="N263" s="11">
        <v>45</v>
      </c>
      <c r="O263" s="52">
        <f t="shared" si="254"/>
        <v>2818.3829312644561</v>
      </c>
      <c r="P263" s="50" t="str">
        <f t="shared" si="206"/>
        <v>23.3035714285714</v>
      </c>
      <c r="Q263" s="18" t="str">
        <f t="shared" si="207"/>
        <v>1+9.48665476271066i</v>
      </c>
      <c r="R263" s="18">
        <f t="shared" si="218"/>
        <v>9.5392147783169676</v>
      </c>
      <c r="S263" s="18">
        <f t="shared" si="219"/>
        <v>1.4657729354134292</v>
      </c>
      <c r="T263" s="18" t="str">
        <f t="shared" si="208"/>
        <v>1+0.0177084222237266i</v>
      </c>
      <c r="U263" s="18">
        <f t="shared" si="220"/>
        <v>1.0001567818185575</v>
      </c>
      <c r="V263" s="18">
        <f t="shared" si="221"/>
        <v>1.7706571521075052E-2</v>
      </c>
      <c r="W263" s="32" t="str">
        <f t="shared" si="209"/>
        <v>1-0.043287254324665i</v>
      </c>
      <c r="X263" s="18">
        <f t="shared" si="222"/>
        <v>1.000936454719763</v>
      </c>
      <c r="Y263" s="18">
        <f t="shared" si="223"/>
        <v>-4.3260247658375703E-2</v>
      </c>
      <c r="Z263" s="32" t="str">
        <f t="shared" si="210"/>
        <v>0.999968226870611+0.0212452368523604i</v>
      </c>
      <c r="AA263" s="18">
        <f t="shared" si="224"/>
        <v>1.0001938886234343</v>
      </c>
      <c r="AB263" s="18">
        <f t="shared" si="225"/>
        <v>2.1242716044936386E-2</v>
      </c>
      <c r="AC263" s="68" t="str">
        <f t="shared" si="226"/>
        <v>0.142291588835884-2.44097663884816i</v>
      </c>
      <c r="AD263" s="66">
        <f t="shared" si="227"/>
        <v>7.7660050370481217</v>
      </c>
      <c r="AE263" s="63">
        <f t="shared" si="228"/>
        <v>-86.663838692172476</v>
      </c>
      <c r="AF263" s="51" t="e">
        <f t="shared" si="229"/>
        <v>#NUM!</v>
      </c>
      <c r="AG263" s="51" t="str">
        <f t="shared" si="211"/>
        <v>1-13.281316667795i</v>
      </c>
      <c r="AH263" s="51">
        <f t="shared" si="230"/>
        <v>13.318910331939671</v>
      </c>
      <c r="AI263" s="51">
        <f t="shared" si="231"/>
        <v>-1.4956443888393818</v>
      </c>
      <c r="AJ263" s="51" t="str">
        <f t="shared" si="212"/>
        <v>1+0.0177084222237266i</v>
      </c>
      <c r="AK263" s="51">
        <f t="shared" si="232"/>
        <v>1.0001567818185575</v>
      </c>
      <c r="AL263" s="51">
        <f t="shared" si="233"/>
        <v>1.7706571521075052E-2</v>
      </c>
      <c r="AM263" s="51" t="e">
        <f t="shared" si="213"/>
        <v>#NUM!</v>
      </c>
      <c r="AN263" s="51" t="e">
        <f t="shared" si="234"/>
        <v>#NUM!</v>
      </c>
      <c r="AO263" s="51" t="e">
        <f t="shared" si="235"/>
        <v>#NUM!</v>
      </c>
      <c r="AP263" s="60" t="e">
        <f t="shared" si="236"/>
        <v>#NUM!</v>
      </c>
      <c r="AQ263" s="51" t="e">
        <f t="shared" si="237"/>
        <v>#NUM!</v>
      </c>
      <c r="AR263" s="63" t="e">
        <f t="shared" si="238"/>
        <v>#NUM!</v>
      </c>
      <c r="AS263" s="32" t="str">
        <f t="shared" si="214"/>
        <v>-0.000170731707317073</v>
      </c>
      <c r="AT263" s="32" t="str">
        <f t="shared" si="215"/>
        <v>0.000672920044501609i</v>
      </c>
      <c r="AU263" s="32">
        <f t="shared" si="239"/>
        <v>6.7292004450160902E-4</v>
      </c>
      <c r="AV263" s="32">
        <f t="shared" si="240"/>
        <v>1.5707963267948966</v>
      </c>
      <c r="AW263" s="32" t="str">
        <f t="shared" si="216"/>
        <v>1+0.143270456012171i</v>
      </c>
      <c r="AX263" s="32">
        <f t="shared" si="241"/>
        <v>1.0102110787186682</v>
      </c>
      <c r="AY263" s="32">
        <f t="shared" si="242"/>
        <v>0.14230207803773115</v>
      </c>
      <c r="AZ263" s="32" t="str">
        <f t="shared" si="217"/>
        <v>1+2.72213866423125i</v>
      </c>
      <c r="BA263" s="32">
        <f t="shared" si="243"/>
        <v>2.9000067081478784</v>
      </c>
      <c r="BB263" s="32">
        <f t="shared" si="244"/>
        <v>1.2187420772423114</v>
      </c>
      <c r="BC263" s="60" t="str">
        <f t="shared" si="245"/>
        <v>-0.64114404466176+0.345574671921595i</v>
      </c>
      <c r="BD263" s="51">
        <f t="shared" si="246"/>
        <v>-2.753248123759537</v>
      </c>
      <c r="BE263" s="63">
        <f t="shared" si="247"/>
        <v>151.67546885348818</v>
      </c>
      <c r="BF263" s="60" t="str">
        <f t="shared" si="248"/>
        <v>0.752310296350644+1.61419000428514i</v>
      </c>
      <c r="BG263" s="66">
        <f t="shared" si="249"/>
        <v>5.0127569132885785</v>
      </c>
      <c r="BH263" s="63">
        <f t="shared" si="250"/>
        <v>65.011630161315708</v>
      </c>
      <c r="BI263" s="60" t="e">
        <f t="shared" si="255"/>
        <v>#NUM!</v>
      </c>
      <c r="BJ263" s="66" t="e">
        <f t="shared" si="251"/>
        <v>#NUM!</v>
      </c>
      <c r="BK263" s="63" t="e">
        <f t="shared" si="256"/>
        <v>#NUM!</v>
      </c>
      <c r="BL263" s="51">
        <f t="shared" si="252"/>
        <v>5.0127569132885785</v>
      </c>
      <c r="BM263" s="63">
        <f t="shared" si="253"/>
        <v>65.011630161315708</v>
      </c>
    </row>
    <row r="264" spans="14:65" x14ac:dyDescent="0.3">
      <c r="N264" s="11">
        <v>46</v>
      </c>
      <c r="O264" s="52">
        <f t="shared" si="254"/>
        <v>2884.0315031266077</v>
      </c>
      <c r="P264" s="50" t="str">
        <f t="shared" si="206"/>
        <v>23.3035714285714</v>
      </c>
      <c r="Q264" s="18" t="str">
        <f t="shared" si="207"/>
        <v>1+9.70762733886866i</v>
      </c>
      <c r="R264" s="18">
        <f t="shared" si="218"/>
        <v>9.7589973127545342</v>
      </c>
      <c r="S264" s="18">
        <f t="shared" si="219"/>
        <v>1.4681466088028967</v>
      </c>
      <c r="T264" s="18" t="str">
        <f t="shared" si="208"/>
        <v>1+0.0181209043658882i</v>
      </c>
      <c r="U264" s="18">
        <f t="shared" si="220"/>
        <v>1.000164170111606</v>
      </c>
      <c r="V264" s="18">
        <f t="shared" si="221"/>
        <v>1.8118921319848623E-2</v>
      </c>
      <c r="W264" s="32" t="str">
        <f t="shared" si="209"/>
        <v>1-0.0442955440055045i</v>
      </c>
      <c r="X264" s="18">
        <f t="shared" si="222"/>
        <v>1.0009805668536944</v>
      </c>
      <c r="Y264" s="18">
        <f t="shared" si="223"/>
        <v>-4.426660737202974E-2</v>
      </c>
      <c r="Z264" s="32" t="str">
        <f t="shared" si="210"/>
        <v>0.999966729449156+0.0217401019903652i</v>
      </c>
      <c r="AA264" s="18">
        <f t="shared" si="224"/>
        <v>1.0002030254102381</v>
      </c>
      <c r="AB264" s="18">
        <f t="shared" si="225"/>
        <v>2.1737400925940148E-2</v>
      </c>
      <c r="AC264" s="68" t="str">
        <f t="shared" si="226"/>
        <v>0.130830535264462-2.38657163525569i</v>
      </c>
      <c r="AD264" s="66">
        <f t="shared" si="227"/>
        <v>7.5685212166116376</v>
      </c>
      <c r="AE264" s="63">
        <f t="shared" si="228"/>
        <v>-86.8622177763135</v>
      </c>
      <c r="AF264" s="51" t="e">
        <f t="shared" si="229"/>
        <v>#NUM!</v>
      </c>
      <c r="AG264" s="51" t="str">
        <f t="shared" si="211"/>
        <v>1-13.5906782744162i</v>
      </c>
      <c r="AH264" s="51">
        <f t="shared" si="230"/>
        <v>13.627418536123725</v>
      </c>
      <c r="AI264" s="51">
        <f t="shared" si="231"/>
        <v>-1.4973488391119381</v>
      </c>
      <c r="AJ264" s="51" t="str">
        <f t="shared" si="212"/>
        <v>1+0.0181209043658882i</v>
      </c>
      <c r="AK264" s="51">
        <f t="shared" si="232"/>
        <v>1.000164170111606</v>
      </c>
      <c r="AL264" s="51">
        <f t="shared" si="233"/>
        <v>1.8118921319848623E-2</v>
      </c>
      <c r="AM264" s="51" t="e">
        <f t="shared" si="213"/>
        <v>#NUM!</v>
      </c>
      <c r="AN264" s="51" t="e">
        <f t="shared" si="234"/>
        <v>#NUM!</v>
      </c>
      <c r="AO264" s="51" t="e">
        <f t="shared" si="235"/>
        <v>#NUM!</v>
      </c>
      <c r="AP264" s="60" t="e">
        <f t="shared" si="236"/>
        <v>#NUM!</v>
      </c>
      <c r="AQ264" s="51" t="e">
        <f t="shared" si="237"/>
        <v>#NUM!</v>
      </c>
      <c r="AR264" s="63" t="e">
        <f t="shared" si="238"/>
        <v>#NUM!</v>
      </c>
      <c r="AS264" s="32" t="str">
        <f t="shared" si="214"/>
        <v>-0.000170731707317073</v>
      </c>
      <c r="AT264" s="32" t="str">
        <f t="shared" si="215"/>
        <v>0.00068859436590375i</v>
      </c>
      <c r="AU264" s="32">
        <f t="shared" si="239"/>
        <v>6.8859436590374995E-4</v>
      </c>
      <c r="AV264" s="32">
        <f t="shared" si="240"/>
        <v>1.5707963267948966</v>
      </c>
      <c r="AW264" s="32" t="str">
        <f t="shared" si="216"/>
        <v>1+0.146607653638123i</v>
      </c>
      <c r="AX264" s="32">
        <f t="shared" si="241"/>
        <v>1.0106897664987391</v>
      </c>
      <c r="AY264" s="32">
        <f t="shared" si="242"/>
        <v>0.14557060975672514</v>
      </c>
      <c r="AZ264" s="32" t="str">
        <f t="shared" si="217"/>
        <v>1+2.78554541912434i</v>
      </c>
      <c r="BA264" s="32">
        <f t="shared" si="243"/>
        <v>2.9596052578012149</v>
      </c>
      <c r="BB264" s="32">
        <f t="shared" si="244"/>
        <v>1.2261297335827868</v>
      </c>
      <c r="BC264" s="60" t="str">
        <f t="shared" si="245"/>
        <v>-0.640536864990944+0.341849959804894i</v>
      </c>
      <c r="BD264" s="51">
        <f t="shared" si="246"/>
        <v>-2.7806671974656565</v>
      </c>
      <c r="BE264" s="63">
        <f t="shared" si="247"/>
        <v>151.91147730958741</v>
      </c>
      <c r="BF264" s="60" t="str">
        <f t="shared" si="248"/>
        <v>0.732047636680272+1.5734115265444i</v>
      </c>
      <c r="BG264" s="66">
        <f t="shared" si="249"/>
        <v>4.7878540191459846</v>
      </c>
      <c r="BH264" s="63">
        <f t="shared" si="250"/>
        <v>65.049259533273911</v>
      </c>
      <c r="BI264" s="60" t="e">
        <f t="shared" si="255"/>
        <v>#NUM!</v>
      </c>
      <c r="BJ264" s="66" t="e">
        <f t="shared" si="251"/>
        <v>#NUM!</v>
      </c>
      <c r="BK264" s="63" t="e">
        <f t="shared" si="256"/>
        <v>#NUM!</v>
      </c>
      <c r="BL264" s="51">
        <f t="shared" si="252"/>
        <v>4.7878540191459846</v>
      </c>
      <c r="BM264" s="63">
        <f t="shared" si="253"/>
        <v>65.049259533273911</v>
      </c>
    </row>
    <row r="265" spans="14:65" x14ac:dyDescent="0.3">
      <c r="N265" s="11">
        <v>47</v>
      </c>
      <c r="O265" s="52">
        <f t="shared" si="254"/>
        <v>2951.2092266663876</v>
      </c>
      <c r="P265" s="50" t="str">
        <f t="shared" si="206"/>
        <v>23.3035714285714</v>
      </c>
      <c r="Q265" s="18" t="str">
        <f t="shared" si="207"/>
        <v>1+9.93374702753736i</v>
      </c>
      <c r="R265" s="18">
        <f t="shared" si="218"/>
        <v>9.9839536260495194</v>
      </c>
      <c r="S265" s="18">
        <f t="shared" si="219"/>
        <v>1.4704673729960367</v>
      </c>
      <c r="T265" s="18" t="str">
        <f t="shared" si="208"/>
        <v>1+0.0185429944514031i</v>
      </c>
      <c r="U265" s="18">
        <f t="shared" si="220"/>
        <v>1.0001719065456822</v>
      </c>
      <c r="V265" s="18">
        <f t="shared" si="221"/>
        <v>1.8540869599012969E-2</v>
      </c>
      <c r="W265" s="32" t="str">
        <f t="shared" si="209"/>
        <v>1-0.0453273197700965i</v>
      </c>
      <c r="X265" s="18">
        <f t="shared" si="222"/>
        <v>1.0010267558449877</v>
      </c>
      <c r="Y265" s="18">
        <f t="shared" si="223"/>
        <v>-4.529631532609147E-2</v>
      </c>
      <c r="Z265" s="32" t="str">
        <f t="shared" si="210"/>
        <v>0.999965161456402+0.0222464940182096i</v>
      </c>
      <c r="AA265" s="18">
        <f t="shared" si="224"/>
        <v>1.0002125927134842</v>
      </c>
      <c r="AB265" s="18">
        <f t="shared" si="225"/>
        <v>2.2243599808513835E-2</v>
      </c>
      <c r="AC265" s="68" t="str">
        <f t="shared" si="226"/>
        <v>0.119874748741657-2.33332678588052i</v>
      </c>
      <c r="AD265" s="66">
        <f t="shared" si="227"/>
        <v>7.3709589761393657</v>
      </c>
      <c r="AE265" s="63">
        <f t="shared" si="228"/>
        <v>-87.059012893721103</v>
      </c>
      <c r="AF265" s="51" t="e">
        <f t="shared" si="229"/>
        <v>#NUM!</v>
      </c>
      <c r="AG265" s="51" t="str">
        <f t="shared" si="211"/>
        <v>1-13.9072458385524i</v>
      </c>
      <c r="AH265" s="51">
        <f t="shared" si="230"/>
        <v>13.943151968401301</v>
      </c>
      <c r="AI265" s="51">
        <f t="shared" si="231"/>
        <v>-1.4990149045687324</v>
      </c>
      <c r="AJ265" s="51" t="str">
        <f t="shared" si="212"/>
        <v>1+0.0185429944514031i</v>
      </c>
      <c r="AK265" s="51">
        <f t="shared" si="232"/>
        <v>1.0001719065456822</v>
      </c>
      <c r="AL265" s="51">
        <f t="shared" si="233"/>
        <v>1.8540869599012969E-2</v>
      </c>
      <c r="AM265" s="51" t="e">
        <f t="shared" si="213"/>
        <v>#NUM!</v>
      </c>
      <c r="AN265" s="51" t="e">
        <f t="shared" si="234"/>
        <v>#NUM!</v>
      </c>
      <c r="AO265" s="51" t="e">
        <f t="shared" si="235"/>
        <v>#NUM!</v>
      </c>
      <c r="AP265" s="60" t="e">
        <f t="shared" si="236"/>
        <v>#NUM!</v>
      </c>
      <c r="AQ265" s="51" t="e">
        <f t="shared" si="237"/>
        <v>#NUM!</v>
      </c>
      <c r="AR265" s="63" t="e">
        <f t="shared" si="238"/>
        <v>#NUM!</v>
      </c>
      <c r="AS265" s="32" t="str">
        <f t="shared" si="214"/>
        <v>-0.000170731707317073</v>
      </c>
      <c r="AT265" s="32" t="str">
        <f t="shared" si="215"/>
        <v>0.000704633789153317i</v>
      </c>
      <c r="AU265" s="32">
        <f t="shared" si="239"/>
        <v>7.0463378915331699E-4</v>
      </c>
      <c r="AV265" s="32">
        <f t="shared" si="240"/>
        <v>1.5707963267948966</v>
      </c>
      <c r="AW265" s="32" t="str">
        <f t="shared" si="216"/>
        <v>1+0.150022584582615i</v>
      </c>
      <c r="AX265" s="32">
        <f t="shared" si="241"/>
        <v>1.0111907712617081</v>
      </c>
      <c r="AY265" s="32">
        <f t="shared" si="242"/>
        <v>0.14891203514767393</v>
      </c>
      <c r="AZ265" s="32" t="str">
        <f t="shared" si="217"/>
        <v>1+2.85042910706969i</v>
      </c>
      <c r="BA265" s="32">
        <f t="shared" si="243"/>
        <v>3.0207525708720517</v>
      </c>
      <c r="BB265" s="32">
        <f t="shared" si="244"/>
        <v>1.2333872895815112</v>
      </c>
      <c r="BC265" s="60" t="str">
        <f t="shared" si="245"/>
        <v>-0.639902301207783+0.338298293071285i</v>
      </c>
      <c r="BD265" s="51">
        <f t="shared" si="246"/>
        <v>-2.8073445046183787</v>
      </c>
      <c r="BE265" s="63">
        <f t="shared" si="247"/>
        <v>152.13585506543498</v>
      </c>
      <c r="BF265" s="60" t="str">
        <f t="shared" si="248"/>
        <v>0.712652341264396+1.53365460263636i</v>
      </c>
      <c r="BG265" s="66">
        <f t="shared" si="249"/>
        <v>4.563614471521003</v>
      </c>
      <c r="BH265" s="63">
        <f t="shared" si="250"/>
        <v>65.076842171713949</v>
      </c>
      <c r="BI265" s="60" t="e">
        <f t="shared" si="255"/>
        <v>#NUM!</v>
      </c>
      <c r="BJ265" s="66" t="e">
        <f t="shared" si="251"/>
        <v>#NUM!</v>
      </c>
      <c r="BK265" s="63" t="e">
        <f t="shared" si="256"/>
        <v>#NUM!</v>
      </c>
      <c r="BL265" s="51">
        <f t="shared" si="252"/>
        <v>4.563614471521003</v>
      </c>
      <c r="BM265" s="63">
        <f t="shared" si="253"/>
        <v>65.076842171713949</v>
      </c>
    </row>
    <row r="266" spans="14:65" x14ac:dyDescent="0.3">
      <c r="N266" s="11">
        <v>48</v>
      </c>
      <c r="O266" s="52">
        <f t="shared" si="254"/>
        <v>3019.9517204020176</v>
      </c>
      <c r="P266" s="50" t="str">
        <f t="shared" si="206"/>
        <v>23.3035714285714</v>
      </c>
      <c r="Q266" s="18" t="str">
        <f t="shared" si="207"/>
        <v>1+10.1651337203688i</v>
      </c>
      <c r="R266" s="18">
        <f t="shared" si="218"/>
        <v>10.214203030730243</v>
      </c>
      <c r="S266" s="18">
        <f t="shared" si="219"/>
        <v>1.4727363584418984</v>
      </c>
      <c r="T266" s="18" t="str">
        <f t="shared" si="208"/>
        <v>1+0.0189749162780217i</v>
      </c>
      <c r="U266" s="18">
        <f t="shared" si="220"/>
        <v>1.0001800075225249</v>
      </c>
      <c r="V266" s="18">
        <f t="shared" si="221"/>
        <v>1.8972639479795592E-2</v>
      </c>
      <c r="W266" s="32" t="str">
        <f t="shared" si="209"/>
        <v>1-0.0463831286796086i</v>
      </c>
      <c r="X266" s="18">
        <f t="shared" si="222"/>
        <v>1.0010751193722223</v>
      </c>
      <c r="Y266" s="18">
        <f t="shared" si="223"/>
        <v>-4.6349908745994262E-2</v>
      </c>
      <c r="Z266" s="32" t="str">
        <f t="shared" si="210"/>
        <v>0.999963519566426+0.0227646814316496i</v>
      </c>
      <c r="AA266" s="18">
        <f t="shared" si="224"/>
        <v>1.0002226108143919</v>
      </c>
      <c r="AB266" s="18">
        <f t="shared" si="225"/>
        <v>2.2761580267090738E-2</v>
      </c>
      <c r="AC266" s="68" t="str">
        <f t="shared" si="226"/>
        <v>0.109402408291881-2.28122074436929i</v>
      </c>
      <c r="AD266" s="66">
        <f t="shared" si="227"/>
        <v>7.173323348129248</v>
      </c>
      <c r="AE266" s="63">
        <f t="shared" si="228"/>
        <v>-87.254322142085726</v>
      </c>
      <c r="AF266" s="51" t="e">
        <f t="shared" si="229"/>
        <v>#NUM!</v>
      </c>
      <c r="AG266" s="51" t="str">
        <f t="shared" si="211"/>
        <v>1-14.2311872085163i</v>
      </c>
      <c r="AH266" s="51">
        <f t="shared" si="230"/>
        <v>14.266278048735694</v>
      </c>
      <c r="AI266" s="51">
        <f t="shared" si="231"/>
        <v>-1.500643431562011</v>
      </c>
      <c r="AJ266" s="51" t="str">
        <f t="shared" si="212"/>
        <v>1+0.0189749162780217i</v>
      </c>
      <c r="AK266" s="51">
        <f t="shared" si="232"/>
        <v>1.0001800075225249</v>
      </c>
      <c r="AL266" s="51">
        <f t="shared" si="233"/>
        <v>1.8972639479795592E-2</v>
      </c>
      <c r="AM266" s="51" t="e">
        <f t="shared" si="213"/>
        <v>#NUM!</v>
      </c>
      <c r="AN266" s="51" t="e">
        <f t="shared" si="234"/>
        <v>#NUM!</v>
      </c>
      <c r="AO266" s="51" t="e">
        <f t="shared" si="235"/>
        <v>#NUM!</v>
      </c>
      <c r="AP266" s="60" t="e">
        <f t="shared" si="236"/>
        <v>#NUM!</v>
      </c>
      <c r="AQ266" s="51" t="e">
        <f t="shared" si="237"/>
        <v>#NUM!</v>
      </c>
      <c r="AR266" s="63" t="e">
        <f t="shared" si="238"/>
        <v>#NUM!</v>
      </c>
      <c r="AS266" s="32" t="str">
        <f t="shared" si="214"/>
        <v>-0.000170731707317073</v>
      </c>
      <c r="AT266" s="32" t="str">
        <f t="shared" si="215"/>
        <v>0.000721046818564824i</v>
      </c>
      <c r="AU266" s="32">
        <f t="shared" si="239"/>
        <v>7.2104681856482403E-4</v>
      </c>
      <c r="AV266" s="32">
        <f t="shared" si="240"/>
        <v>1.5707963267948966</v>
      </c>
      <c r="AW266" s="32" t="str">
        <f t="shared" si="216"/>
        <v>1+0.153517059487236i</v>
      </c>
      <c r="AX266" s="32">
        <f t="shared" si="241"/>
        <v>1.0117151217381342</v>
      </c>
      <c r="AY266" s="32">
        <f t="shared" si="242"/>
        <v>0.15232782726433861</v>
      </c>
      <c r="AZ266" s="32" t="str">
        <f t="shared" si="217"/>
        <v>1+2.9168241302575i</v>
      </c>
      <c r="BA266" s="32">
        <f t="shared" si="243"/>
        <v>3.083482285801626</v>
      </c>
      <c r="BB266" s="32">
        <f t="shared" si="244"/>
        <v>1.2405155341729046</v>
      </c>
      <c r="BC266" s="60" t="str">
        <f t="shared" si="245"/>
        <v>-0.639239177529072+0.334917227680671i</v>
      </c>
      <c r="BD266" s="51">
        <f t="shared" si="246"/>
        <v>-2.8333213031917297</v>
      </c>
      <c r="BE266" s="63">
        <f t="shared" si="247"/>
        <v>152.34856292387985</v>
      </c>
      <c r="BF266" s="60" t="str">
        <f t="shared" si="248"/>
        <v>0.694085821935598+1.49488642367959i</v>
      </c>
      <c r="BG266" s="66">
        <f t="shared" si="249"/>
        <v>4.3400020449375303</v>
      </c>
      <c r="BH266" s="63">
        <f t="shared" si="250"/>
        <v>65.09424078179417</v>
      </c>
      <c r="BI266" s="60" t="e">
        <f t="shared" si="255"/>
        <v>#NUM!</v>
      </c>
      <c r="BJ266" s="66" t="e">
        <f t="shared" si="251"/>
        <v>#NUM!</v>
      </c>
      <c r="BK266" s="63" t="e">
        <f t="shared" si="256"/>
        <v>#NUM!</v>
      </c>
      <c r="BL266" s="51">
        <f t="shared" si="252"/>
        <v>4.3400020449375303</v>
      </c>
      <c r="BM266" s="63">
        <f t="shared" si="253"/>
        <v>65.09424078179417</v>
      </c>
    </row>
    <row r="267" spans="14:65" x14ac:dyDescent="0.3">
      <c r="N267" s="11">
        <v>49</v>
      </c>
      <c r="O267" s="52">
        <f t="shared" si="254"/>
        <v>3090.295432513592</v>
      </c>
      <c r="P267" s="50" t="str">
        <f t="shared" si="206"/>
        <v>23.3035714285714</v>
      </c>
      <c r="Q267" s="18" t="str">
        <f t="shared" si="207"/>
        <v>1+10.4019101016501i</v>
      </c>
      <c r="R267" s="18">
        <f t="shared" si="218"/>
        <v>10.449867643315411</v>
      </c>
      <c r="S267" s="18">
        <f t="shared" si="219"/>
        <v>1.4749546746840658</v>
      </c>
      <c r="T267" s="18" t="str">
        <f t="shared" si="208"/>
        <v>1+0.0194168988564136i</v>
      </c>
      <c r="U267" s="18">
        <f t="shared" si="220"/>
        <v>1.0001884902163194</v>
      </c>
      <c r="V267" s="18">
        <f t="shared" si="221"/>
        <v>1.9414459247990658E-2</v>
      </c>
      <c r="W267" s="32" t="str">
        <f t="shared" si="209"/>
        <v>1-0.0474635305378999i</v>
      </c>
      <c r="X267" s="18">
        <f t="shared" si="222"/>
        <v>1.0011257596981122</v>
      </c>
      <c r="Y267" s="18">
        <f t="shared" si="223"/>
        <v>-4.7427936899184314E-2</v>
      </c>
      <c r="Z267" s="32" t="str">
        <f t="shared" si="210"/>
        <v>0.999961800296559+0.0232949389805108i</v>
      </c>
      <c r="AA267" s="18">
        <f t="shared" si="224"/>
        <v>1.0002331009491943</v>
      </c>
      <c r="AB267" s="18">
        <f t="shared" si="225"/>
        <v>2.3291616064334733E-2</v>
      </c>
      <c r="AC267" s="68" t="str">
        <f t="shared" si="226"/>
        <v>0.0993925960444053-2.23023232359337i</v>
      </c>
      <c r="AD267" s="66">
        <f t="shared" si="227"/>
        <v>6.9756192205077401</v>
      </c>
      <c r="AE267" s="63">
        <f t="shared" si="228"/>
        <v>-87.448243169911223</v>
      </c>
      <c r="AF267" s="51" t="e">
        <f t="shared" si="229"/>
        <v>#NUM!</v>
      </c>
      <c r="AG267" s="51" t="str">
        <f t="shared" si="211"/>
        <v>1-14.5626741423102i</v>
      </c>
      <c r="AH267" s="51">
        <f t="shared" si="230"/>
        <v>14.596968115848926</v>
      </c>
      <c r="AI267" s="51">
        <f t="shared" si="231"/>
        <v>-1.5022352489868167</v>
      </c>
      <c r="AJ267" s="51" t="str">
        <f t="shared" si="212"/>
        <v>1+0.0194168988564136i</v>
      </c>
      <c r="AK267" s="51">
        <f t="shared" si="232"/>
        <v>1.0001884902163194</v>
      </c>
      <c r="AL267" s="51">
        <f t="shared" si="233"/>
        <v>1.9414459247990658E-2</v>
      </c>
      <c r="AM267" s="51" t="e">
        <f t="shared" si="213"/>
        <v>#NUM!</v>
      </c>
      <c r="AN267" s="51" t="e">
        <f t="shared" si="234"/>
        <v>#NUM!</v>
      </c>
      <c r="AO267" s="51" t="e">
        <f t="shared" si="235"/>
        <v>#NUM!</v>
      </c>
      <c r="AP267" s="60" t="e">
        <f t="shared" si="236"/>
        <v>#NUM!</v>
      </c>
      <c r="AQ267" s="51" t="e">
        <f t="shared" si="237"/>
        <v>#NUM!</v>
      </c>
      <c r="AR267" s="63" t="e">
        <f t="shared" si="238"/>
        <v>#NUM!</v>
      </c>
      <c r="AS267" s="32" t="str">
        <f t="shared" si="214"/>
        <v>-0.000170731707317073</v>
      </c>
      <c r="AT267" s="32" t="str">
        <f t="shared" si="215"/>
        <v>0.000737842156543716i</v>
      </c>
      <c r="AU267" s="32">
        <f t="shared" si="239"/>
        <v>7.3784215654371598E-4</v>
      </c>
      <c r="AV267" s="32">
        <f t="shared" si="240"/>
        <v>1.5707963267948966</v>
      </c>
      <c r="AW267" s="32" t="str">
        <f t="shared" si="216"/>
        <v>1+0.157092931168837i</v>
      </c>
      <c r="AX267" s="32">
        <f t="shared" si="241"/>
        <v>1.0122638929761434</v>
      </c>
      <c r="AY267" s="32">
        <f t="shared" si="242"/>
        <v>0.15581947820661352</v>
      </c>
      <c r="AZ267" s="32" t="str">
        <f t="shared" si="217"/>
        <v>1+2.9847656922079i</v>
      </c>
      <c r="BA267" s="32">
        <f t="shared" si="243"/>
        <v>3.1478288132268726</v>
      </c>
      <c r="BB267" s="32">
        <f t="shared" si="244"/>
        <v>1.2475153483230124</v>
      </c>
      <c r="BC267" s="60" t="str">
        <f t="shared" si="245"/>
        <v>-0.638546273257739+0.331704373002503i</v>
      </c>
      <c r="BD267" s="51">
        <f t="shared" si="246"/>
        <v>-2.858638427837128</v>
      </c>
      <c r="BE267" s="63">
        <f t="shared" si="247"/>
        <v>152.54956586953173</v>
      </c>
      <c r="BF267" s="60" t="str">
        <f t="shared" si="248"/>
        <v>0.676311042753887+1.45707549748149i</v>
      </c>
      <c r="BG267" s="66">
        <f t="shared" si="249"/>
        <v>4.1169807926705886</v>
      </c>
      <c r="BH267" s="63">
        <f t="shared" si="250"/>
        <v>65.101322699620439</v>
      </c>
      <c r="BI267" s="60" t="e">
        <f t="shared" si="255"/>
        <v>#NUM!</v>
      </c>
      <c r="BJ267" s="66" t="e">
        <f t="shared" si="251"/>
        <v>#NUM!</v>
      </c>
      <c r="BK267" s="63" t="e">
        <f t="shared" si="256"/>
        <v>#NUM!</v>
      </c>
      <c r="BL267" s="51">
        <f t="shared" si="252"/>
        <v>4.1169807926705886</v>
      </c>
      <c r="BM267" s="63">
        <f t="shared" si="253"/>
        <v>65.101322699620439</v>
      </c>
    </row>
    <row r="268" spans="14:65" x14ac:dyDescent="0.3">
      <c r="N268" s="11">
        <v>50</v>
      </c>
      <c r="O268" s="52">
        <f t="shared" si="254"/>
        <v>3162.2776601683804</v>
      </c>
      <c r="P268" s="50" t="str">
        <f t="shared" si="206"/>
        <v>23.3035714285714</v>
      </c>
      <c r="Q268" s="18" t="str">
        <f t="shared" si="207"/>
        <v>1+10.6442017133529i</v>
      </c>
      <c r="R268" s="18">
        <f t="shared" si="218"/>
        <v>10.691072449223455</v>
      </c>
      <c r="S268" s="18">
        <f t="shared" si="219"/>
        <v>1.4771234105257776</v>
      </c>
      <c r="T268" s="18" t="str">
        <f t="shared" si="208"/>
        <v>1+0.0198691765315922i</v>
      </c>
      <c r="U268" s="18">
        <f t="shared" si="220"/>
        <v>1.0001973726100482</v>
      </c>
      <c r="V268" s="18">
        <f t="shared" si="221"/>
        <v>1.986656247192934E-2</v>
      </c>
      <c r="W268" s="32" t="str">
        <f t="shared" si="209"/>
        <v>1-0.0485690981883365i</v>
      </c>
      <c r="X268" s="18">
        <f t="shared" si="222"/>
        <v>1.0011787838836919</v>
      </c>
      <c r="Y268" s="18">
        <f t="shared" si="223"/>
        <v>-4.8530961342160527E-2</v>
      </c>
      <c r="Z268" s="32" t="str">
        <f t="shared" si="210"/>
        <v>0.99996+0.0238375478143644i</v>
      </c>
      <c r="AA268" s="18">
        <f t="shared" si="224"/>
        <v>1.0002440853540711</v>
      </c>
      <c r="AB268" s="18">
        <f t="shared" si="225"/>
        <v>2.3833987292114001E-2</v>
      </c>
      <c r="AC268" s="68" t="str">
        <f t="shared" si="226"/>
        <v>0.089825263324794-2.18034051249906i</v>
      </c>
      <c r="AD268" s="66">
        <f t="shared" si="227"/>
        <v>6.7778513459509382</v>
      </c>
      <c r="AE268" s="63">
        <f t="shared" si="228"/>
        <v>-87.640873201447519</v>
      </c>
      <c r="AF268" s="51" t="e">
        <f t="shared" si="229"/>
        <v>#NUM!</v>
      </c>
      <c r="AG268" s="51" t="str">
        <f t="shared" si="211"/>
        <v>1-14.9018823986942i</v>
      </c>
      <c r="AH268" s="51">
        <f t="shared" si="230"/>
        <v>14.935397518128269</v>
      </c>
      <c r="AI268" s="51">
        <f t="shared" si="231"/>
        <v>-1.5037911685598606</v>
      </c>
      <c r="AJ268" s="51" t="str">
        <f t="shared" si="212"/>
        <v>1+0.0198691765315922i</v>
      </c>
      <c r="AK268" s="51">
        <f t="shared" si="232"/>
        <v>1.0001973726100482</v>
      </c>
      <c r="AL268" s="51">
        <f t="shared" si="233"/>
        <v>1.986656247192934E-2</v>
      </c>
      <c r="AM268" s="51" t="e">
        <f t="shared" si="213"/>
        <v>#NUM!</v>
      </c>
      <c r="AN268" s="51" t="e">
        <f t="shared" si="234"/>
        <v>#NUM!</v>
      </c>
      <c r="AO268" s="51" t="e">
        <f t="shared" si="235"/>
        <v>#NUM!</v>
      </c>
      <c r="AP268" s="60" t="e">
        <f t="shared" si="236"/>
        <v>#NUM!</v>
      </c>
      <c r="AQ268" s="51" t="e">
        <f t="shared" si="237"/>
        <v>#NUM!</v>
      </c>
      <c r="AR268" s="63" t="e">
        <f t="shared" si="238"/>
        <v>#NUM!</v>
      </c>
      <c r="AS268" s="32" t="str">
        <f t="shared" si="214"/>
        <v>-0.000170731707317073</v>
      </c>
      <c r="AT268" s="32" t="str">
        <f t="shared" si="215"/>
        <v>0.000755028708200504i</v>
      </c>
      <c r="AU268" s="32">
        <f t="shared" si="239"/>
        <v>7.5502870820050403E-4</v>
      </c>
      <c r="AV268" s="32">
        <f t="shared" si="240"/>
        <v>1.5707963267948966</v>
      </c>
      <c r="AW268" s="32" t="str">
        <f t="shared" si="216"/>
        <v>1+0.160752095601913i</v>
      </c>
      <c r="AX268" s="32">
        <f t="shared" si="241"/>
        <v>1.0128382083237217</v>
      </c>
      <c r="AY268" s="32">
        <f t="shared" si="242"/>
        <v>0.15938849856794518</v>
      </c>
      <c r="AZ268" s="32" t="str">
        <f t="shared" si="217"/>
        <v>1+3.05428981643635i</v>
      </c>
      <c r="BA268" s="32">
        <f t="shared" si="243"/>
        <v>3.2138273573399667</v>
      </c>
      <c r="BB268" s="32">
        <f t="shared" si="244"/>
        <v>1.2543876987408309</v>
      </c>
      <c r="BC268" s="60" t="str">
        <f t="shared" si="245"/>
        <v>-0.637822321597458+0.328657388253262i</v>
      </c>
      <c r="BD268" s="51">
        <f t="shared" si="246"/>
        <v>-2.8833362935936258</v>
      </c>
      <c r="BE268" s="63">
        <f t="shared" si="247"/>
        <v>152.7388327401072</v>
      </c>
      <c r="BF268" s="60" t="str">
        <f t="shared" si="248"/>
        <v>0.659292460348797+1.42019158399863i</v>
      </c>
      <c r="BG268" s="66">
        <f t="shared" si="249"/>
        <v>3.8945150523573133</v>
      </c>
      <c r="BH268" s="63">
        <f t="shared" si="250"/>
        <v>65.097959538659666</v>
      </c>
      <c r="BI268" s="60" t="e">
        <f t="shared" si="255"/>
        <v>#NUM!</v>
      </c>
      <c r="BJ268" s="66" t="e">
        <f t="shared" si="251"/>
        <v>#NUM!</v>
      </c>
      <c r="BK268" s="63" t="e">
        <f t="shared" si="256"/>
        <v>#NUM!</v>
      </c>
      <c r="BL268" s="51">
        <f t="shared" si="252"/>
        <v>3.8945150523573133</v>
      </c>
      <c r="BM268" s="63">
        <f t="shared" si="253"/>
        <v>65.097959538659666</v>
      </c>
    </row>
    <row r="269" spans="14:65" x14ac:dyDescent="0.3">
      <c r="N269" s="11">
        <v>51</v>
      </c>
      <c r="O269" s="52">
        <f t="shared" si="254"/>
        <v>3235.9365692962833</v>
      </c>
      <c r="P269" s="50" t="str">
        <f t="shared" si="206"/>
        <v>23.3035714285714</v>
      </c>
      <c r="Q269" s="18" t="str">
        <f t="shared" si="207"/>
        <v>1+10.8921370216969i</v>
      </c>
      <c r="R269" s="18">
        <f t="shared" si="218"/>
        <v>10.93794536919161</v>
      </c>
      <c r="S269" s="18">
        <f t="shared" si="219"/>
        <v>1.4792436342108033</v>
      </c>
      <c r="T269" s="18" t="str">
        <f t="shared" si="208"/>
        <v>1+0.0203319891071675i</v>
      </c>
      <c r="U269" s="18">
        <f t="shared" si="220"/>
        <v>1.0002066735335522</v>
      </c>
      <c r="V269" s="18">
        <f t="shared" si="221"/>
        <v>2.0329188123031812E-2</v>
      </c>
      <c r="W269" s="32" t="str">
        <f t="shared" si="209"/>
        <v>1-0.0497004178175206i</v>
      </c>
      <c r="X269" s="18">
        <f t="shared" si="222"/>
        <v>1.0012343040124205</v>
      </c>
      <c r="Y269" s="18">
        <f t="shared" si="223"/>
        <v>-4.9659556170908767E-2</v>
      </c>
      <c r="Z269" s="32" t="str">
        <f t="shared" si="210"/>
        <v>0.999958114858078+0.0243927956315965i</v>
      </c>
      <c r="AA269" s="18">
        <f t="shared" si="224"/>
        <v>1.0002555873121859</v>
      </c>
      <c r="AB269" s="18">
        <f t="shared" si="225"/>
        <v>2.4388980515532604E-2</v>
      </c>
      <c r="AC269" s="68" t="str">
        <f t="shared" si="226"/>
        <v>0.0806811977080707-2.13152449134503i</v>
      </c>
      <c r="AD269" s="66">
        <f t="shared" si="227"/>
        <v>6.5800243510011409</v>
      </c>
      <c r="AE269" s="63">
        <f t="shared" si="228"/>
        <v>-87.832309062748308</v>
      </c>
      <c r="AF269" s="51" t="e">
        <f t="shared" si="229"/>
        <v>#NUM!</v>
      </c>
      <c r="AG269" s="51" t="str">
        <f t="shared" si="211"/>
        <v>1-15.2489918303757i</v>
      </c>
      <c r="AH269" s="51">
        <f t="shared" si="230"/>
        <v>15.281745706654879</v>
      </c>
      <c r="AI269" s="51">
        <f t="shared" si="231"/>
        <v>-1.5053119850997203</v>
      </c>
      <c r="AJ269" s="51" t="str">
        <f t="shared" si="212"/>
        <v>1+0.0203319891071675i</v>
      </c>
      <c r="AK269" s="51">
        <f t="shared" si="232"/>
        <v>1.0002066735335522</v>
      </c>
      <c r="AL269" s="51">
        <f t="shared" si="233"/>
        <v>2.0329188123031812E-2</v>
      </c>
      <c r="AM269" s="51" t="e">
        <f t="shared" si="213"/>
        <v>#NUM!</v>
      </c>
      <c r="AN269" s="51" t="e">
        <f t="shared" si="234"/>
        <v>#NUM!</v>
      </c>
      <c r="AO269" s="51" t="e">
        <f t="shared" si="235"/>
        <v>#NUM!</v>
      </c>
      <c r="AP269" s="60" t="e">
        <f t="shared" si="236"/>
        <v>#NUM!</v>
      </c>
      <c r="AQ269" s="51" t="e">
        <f t="shared" si="237"/>
        <v>#NUM!</v>
      </c>
      <c r="AR269" s="63" t="e">
        <f t="shared" si="238"/>
        <v>#NUM!</v>
      </c>
      <c r="AS269" s="32" t="str">
        <f t="shared" si="214"/>
        <v>-0.000170731707317073</v>
      </c>
      <c r="AT269" s="32" t="str">
        <f t="shared" si="215"/>
        <v>0.000772615586072366i</v>
      </c>
      <c r="AU269" s="32">
        <f t="shared" si="239"/>
        <v>7.7261558607236603E-4</v>
      </c>
      <c r="AV269" s="32">
        <f t="shared" si="240"/>
        <v>1.5707963267948966</v>
      </c>
      <c r="AW269" s="32" t="str">
        <f t="shared" si="216"/>
        <v>1+0.164496492923883i</v>
      </c>
      <c r="AX269" s="32">
        <f t="shared" si="241"/>
        <v>1.0134392414862654</v>
      </c>
      <c r="AY269" s="32">
        <f t="shared" si="242"/>
        <v>0.16303641680963601</v>
      </c>
      <c r="AZ269" s="32" t="str">
        <f t="shared" si="217"/>
        <v>1+3.12543336555379i</v>
      </c>
      <c r="BA269" s="32">
        <f t="shared" si="243"/>
        <v>3.2815139375777291</v>
      </c>
      <c r="BB269" s="32">
        <f t="shared" si="244"/>
        <v>1.2611336317544404</v>
      </c>
      <c r="BC269" s="60" t="str">
        <f t="shared" si="245"/>
        <v>-0.637066008489816+0.325773978836149i</v>
      </c>
      <c r="BD269" s="51">
        <f t="shared" si="246"/>
        <v>-2.9074549029230523</v>
      </c>
      <c r="BE269" s="63">
        <f t="shared" si="247"/>
        <v>152.91633591140717</v>
      </c>
      <c r="BF269" s="60" t="str">
        <f t="shared" si="248"/>
        <v>0.642995965948111+1.38420563449409i</v>
      </c>
      <c r="BG269" s="66">
        <f t="shared" si="249"/>
        <v>3.6725694480780997</v>
      </c>
      <c r="BH269" s="63">
        <f t="shared" si="250"/>
        <v>65.084026848658894</v>
      </c>
      <c r="BI269" s="60" t="e">
        <f t="shared" si="255"/>
        <v>#NUM!</v>
      </c>
      <c r="BJ269" s="66" t="e">
        <f t="shared" si="251"/>
        <v>#NUM!</v>
      </c>
      <c r="BK269" s="63" t="e">
        <f t="shared" si="256"/>
        <v>#NUM!</v>
      </c>
      <c r="BL269" s="51">
        <f t="shared" si="252"/>
        <v>3.6725694480780997</v>
      </c>
      <c r="BM269" s="63">
        <f t="shared" si="253"/>
        <v>65.084026848658894</v>
      </c>
    </row>
    <row r="270" spans="14:65" x14ac:dyDescent="0.3">
      <c r="N270" s="11">
        <v>52</v>
      </c>
      <c r="O270" s="52">
        <f t="shared" si="254"/>
        <v>3311.3112148259115</v>
      </c>
      <c r="P270" s="50" t="str">
        <f t="shared" si="206"/>
        <v>23.3035714285714</v>
      </c>
      <c r="Q270" s="18" t="str">
        <f t="shared" si="207"/>
        <v>1+11.1458474852642i</v>
      </c>
      <c r="R270" s="18">
        <f t="shared" si="218"/>
        <v>11.190617327242062</v>
      </c>
      <c r="S270" s="18">
        <f t="shared" si="219"/>
        <v>1.4813163936185592</v>
      </c>
      <c r="T270" s="18" t="str">
        <f t="shared" si="208"/>
        <v>1+0.0208055819724932i</v>
      </c>
      <c r="U270" s="18">
        <f t="shared" si="220"/>
        <v>1.0002164127033779</v>
      </c>
      <c r="V270" s="18">
        <f t="shared" si="221"/>
        <v>2.0802580698989374E-2</v>
      </c>
      <c r="W270" s="32" t="str">
        <f t="shared" si="209"/>
        <v>1-0.0508580892660945i</v>
      </c>
      <c r="X270" s="18">
        <f t="shared" si="222"/>
        <v>1.0012924374246508</v>
      </c>
      <c r="Y270" s="18">
        <f t="shared" si="223"/>
        <v>-5.0814308274645309E-2</v>
      </c>
      <c r="Z270" s="32" t="str">
        <f t="shared" si="210"/>
        <v>0.999956140872154+0.0249609768319494i</v>
      </c>
      <c r="AA270" s="18">
        <f t="shared" si="224"/>
        <v>1.0002676312029377</v>
      </c>
      <c r="AB270" s="18">
        <f t="shared" si="225"/>
        <v>2.4956888920074586E-2</v>
      </c>
      <c r="AC270" s="68" t="str">
        <f>(IMDIV(IMPRODUCT(P270,T270,W270),IMPRODUCT(Q270,Z270)))</f>
        <v>0.0719419910364611-2.08376364543099i</v>
      </c>
      <c r="AD270" s="66">
        <f t="shared" si="227"/>
        <v>6.3821427449888741</v>
      </c>
      <c r="AE270" s="63">
        <f t="shared" si="228"/>
        <v>-88.022647208761768</v>
      </c>
      <c r="AF270" s="51" t="e">
        <f t="shared" si="229"/>
        <v>#NUM!</v>
      </c>
      <c r="AG270" s="51" t="str">
        <f t="shared" si="211"/>
        <v>1-15.6041864793699i</v>
      </c>
      <c r="AH270" s="51">
        <f t="shared" si="230"/>
        <v>15.636196330404347</v>
      </c>
      <c r="AI270" s="51">
        <f t="shared" si="231"/>
        <v>-1.50679847680785</v>
      </c>
      <c r="AJ270" s="51" t="str">
        <f t="shared" si="212"/>
        <v>1+0.0208055819724932i</v>
      </c>
      <c r="AK270" s="51">
        <f t="shared" si="232"/>
        <v>1.0002164127033779</v>
      </c>
      <c r="AL270" s="51">
        <f t="shared" si="233"/>
        <v>2.0802580698989374E-2</v>
      </c>
      <c r="AM270" s="51" t="e">
        <f t="shared" si="213"/>
        <v>#NUM!</v>
      </c>
      <c r="AN270" s="51" t="e">
        <f t="shared" si="234"/>
        <v>#NUM!</v>
      </c>
      <c r="AO270" s="51" t="e">
        <f t="shared" si="235"/>
        <v>#NUM!</v>
      </c>
      <c r="AP270" s="60" t="e">
        <f t="shared" si="236"/>
        <v>#NUM!</v>
      </c>
      <c r="AQ270" s="51" t="e">
        <f t="shared" si="237"/>
        <v>#NUM!</v>
      </c>
      <c r="AR270" s="63" t="e">
        <f t="shared" si="238"/>
        <v>#NUM!</v>
      </c>
      <c r="AS270" s="32" t="str">
        <f t="shared" si="214"/>
        <v>-0.000170731707317073</v>
      </c>
      <c r="AT270" s="32" t="str">
        <f t="shared" si="215"/>
        <v>0.00079061211495474i</v>
      </c>
      <c r="AU270" s="32">
        <f t="shared" si="239"/>
        <v>7.9061211495473995E-4</v>
      </c>
      <c r="AV270" s="32">
        <f t="shared" si="240"/>
        <v>1.5707963267948966</v>
      </c>
      <c r="AW270" s="32" t="str">
        <f t="shared" si="216"/>
        <v>1+0.168328108463771i</v>
      </c>
      <c r="AX270" s="32">
        <f t="shared" si="241"/>
        <v>1.0140682186613439</v>
      </c>
      <c r="AY270" s="32">
        <f t="shared" si="242"/>
        <v>0.16676477855721936</v>
      </c>
      <c r="AZ270" s="32" t="str">
        <f t="shared" si="217"/>
        <v>1+3.19823406081166i</v>
      </c>
      <c r="BA270" s="32">
        <f t="shared" si="243"/>
        <v>3.3509254106493986</v>
      </c>
      <c r="BB270" s="32">
        <f t="shared" si="244"/>
        <v>1.2677542673646496</v>
      </c>
      <c r="BC270" s="60" t="str">
        <f t="shared" si="245"/>
        <v>-0.63627597148119+0.323051892576447i</v>
      </c>
      <c r="BD270" s="51">
        <f t="shared" si="246"/>
        <v>-2.9310338558561506</v>
      </c>
      <c r="BE270" s="63">
        <f t="shared" si="247"/>
        <v>153.08205099693174</v>
      </c>
      <c r="BF270" s="60" t="str">
        <f t="shared" si="248"/>
        <v>0.627388829101462+1.34908973419384i</v>
      </c>
      <c r="BG270" s="66">
        <f t="shared" si="249"/>
        <v>3.4511088891327462</v>
      </c>
      <c r="BH270" s="63">
        <f t="shared" si="250"/>
        <v>65.059403788170073</v>
      </c>
      <c r="BI270" s="60" t="e">
        <f t="shared" si="255"/>
        <v>#NUM!</v>
      </c>
      <c r="BJ270" s="66" t="e">
        <f t="shared" si="251"/>
        <v>#NUM!</v>
      </c>
      <c r="BK270" s="63" t="e">
        <f t="shared" si="256"/>
        <v>#NUM!</v>
      </c>
      <c r="BL270" s="51">
        <f t="shared" si="252"/>
        <v>3.4511088891327462</v>
      </c>
      <c r="BM270" s="63">
        <f t="shared" si="253"/>
        <v>65.059403788170073</v>
      </c>
    </row>
    <row r="271" spans="14:65" x14ac:dyDescent="0.3">
      <c r="N271" s="11">
        <v>53</v>
      </c>
      <c r="O271" s="52">
        <f t="shared" si="254"/>
        <v>3388.4415613920314</v>
      </c>
      <c r="P271" s="50" t="str">
        <f t="shared" si="206"/>
        <v>23.3035714285714</v>
      </c>
      <c r="Q271" s="18" t="str">
        <f t="shared" si="207"/>
        <v>1+11.4054676247009i</v>
      </c>
      <c r="R271" s="18">
        <f t="shared" si="218"/>
        <v>11.449222320232078</v>
      </c>
      <c r="S271" s="18">
        <f t="shared" si="219"/>
        <v>1.4833427164720294</v>
      </c>
      <c r="T271" s="18" t="str">
        <f t="shared" si="208"/>
        <v>1+0.0212902062327751i</v>
      </c>
      <c r="U271" s="18">
        <f t="shared" si="220"/>
        <v>1.0002266107644977</v>
      </c>
      <c r="V271" s="18">
        <f t="shared" si="221"/>
        <v>2.128699034962489E-2</v>
      </c>
      <c r="W271" s="32" t="str">
        <f t="shared" si="209"/>
        <v>1-0.0520427263467836i</v>
      </c>
      <c r="X271" s="18">
        <f t="shared" si="222"/>
        <v>1.001353306962935</v>
      </c>
      <c r="Y271" s="18">
        <f t="shared" si="223"/>
        <v>-5.1995817592769562E-2</v>
      </c>
      <c r="Z271" s="32" t="str">
        <f t="shared" si="210"/>
        <v>0.99995407385514+0.0255423926726161i</v>
      </c>
      <c r="AA271" s="18">
        <f t="shared" si="224"/>
        <v>1.000280242553522</v>
      </c>
      <c r="AB271" s="18">
        <f t="shared" si="225"/>
        <v>2.5538012461916264E-2</v>
      </c>
      <c r="AC271" s="68" t="str">
        <f t="shared" si="226"/>
        <v>0.0635900084008254-2.03703757741653i</v>
      </c>
      <c r="AD271" s="66">
        <f t="shared" si="227"/>
        <v>6.1842109287719582</v>
      </c>
      <c r="AE271" s="63">
        <f t="shared" si="228"/>
        <v>-88.211983751366844</v>
      </c>
      <c r="AF271" s="51" t="e">
        <f t="shared" si="229"/>
        <v>#NUM!</v>
      </c>
      <c r="AG271" s="51" t="str">
        <f t="shared" si="211"/>
        <v>1-15.9676546745814i</v>
      </c>
      <c r="AH271" s="51">
        <f t="shared" si="230"/>
        <v>15.998937333669423</v>
      </c>
      <c r="AI271" s="51">
        <f t="shared" si="231"/>
        <v>-1.5082514055499223</v>
      </c>
      <c r="AJ271" s="51" t="str">
        <f t="shared" si="212"/>
        <v>1+0.0212902062327751i</v>
      </c>
      <c r="AK271" s="51">
        <f t="shared" si="232"/>
        <v>1.0002266107644977</v>
      </c>
      <c r="AL271" s="51">
        <f t="shared" si="233"/>
        <v>2.128699034962489E-2</v>
      </c>
      <c r="AM271" s="51" t="e">
        <f t="shared" si="213"/>
        <v>#NUM!</v>
      </c>
      <c r="AN271" s="51" t="e">
        <f t="shared" si="234"/>
        <v>#NUM!</v>
      </c>
      <c r="AO271" s="51" t="e">
        <f t="shared" si="235"/>
        <v>#NUM!</v>
      </c>
      <c r="AP271" s="60" t="e">
        <f t="shared" si="236"/>
        <v>#NUM!</v>
      </c>
      <c r="AQ271" s="51" t="e">
        <f t="shared" si="237"/>
        <v>#NUM!</v>
      </c>
      <c r="AR271" s="63" t="e">
        <f t="shared" si="238"/>
        <v>#NUM!</v>
      </c>
      <c r="AS271" s="32" t="str">
        <f t="shared" si="214"/>
        <v>-0.000170731707317073</v>
      </c>
      <c r="AT271" s="32" t="str">
        <f t="shared" si="215"/>
        <v>0.000809027836845453i</v>
      </c>
      <c r="AU271" s="32">
        <f t="shared" si="239"/>
        <v>8.0902783684545299E-4</v>
      </c>
      <c r="AV271" s="32">
        <f t="shared" si="240"/>
        <v>1.5707963267948966</v>
      </c>
      <c r="AW271" s="32" t="str">
        <f t="shared" si="216"/>
        <v>1+0.172248973794852i</v>
      </c>
      <c r="AX271" s="32">
        <f t="shared" si="241"/>
        <v>1.0147264207525986</v>
      </c>
      <c r="AY271" s="32">
        <f t="shared" si="242"/>
        <v>0.17057514581394001</v>
      </c>
      <c r="AZ271" s="32" t="str">
        <f t="shared" si="217"/>
        <v>1+3.27273050210219i</v>
      </c>
      <c r="BA271" s="32">
        <f t="shared" si="243"/>
        <v>3.422099492912217</v>
      </c>
      <c r="BB271" s="32">
        <f t="shared" si="244"/>
        <v>1.2742507934866727</v>
      </c>
      <c r="BC271" s="60" t="str">
        <f t="shared" si="245"/>
        <v>-0.635450798627097+0.320488915846166i</v>
      </c>
      <c r="BD271" s="51">
        <f t="shared" si="246"/>
        <v>-2.9541123630369843</v>
      </c>
      <c r="BE271" s="63">
        <f t="shared" si="247"/>
        <v>153.23595656301521</v>
      </c>
      <c r="BF271" s="60" t="str">
        <f t="shared" si="248"/>
        <v>0.612439643101116+1.31481704825377i</v>
      </c>
      <c r="BG271" s="66">
        <f t="shared" si="249"/>
        <v>3.2300985657349743</v>
      </c>
      <c r="BH271" s="63">
        <f t="shared" si="250"/>
        <v>65.023972811648363</v>
      </c>
      <c r="BI271" s="60" t="e">
        <f t="shared" si="255"/>
        <v>#NUM!</v>
      </c>
      <c r="BJ271" s="66" t="e">
        <f t="shared" si="251"/>
        <v>#NUM!</v>
      </c>
      <c r="BK271" s="63" t="e">
        <f t="shared" si="256"/>
        <v>#NUM!</v>
      </c>
      <c r="BL271" s="51">
        <f t="shared" si="252"/>
        <v>3.2300985657349743</v>
      </c>
      <c r="BM271" s="63">
        <f t="shared" si="253"/>
        <v>65.023972811648363</v>
      </c>
    </row>
    <row r="272" spans="14:65" x14ac:dyDescent="0.3">
      <c r="N272" s="11">
        <v>54</v>
      </c>
      <c r="O272" s="52">
        <f t="shared" si="254"/>
        <v>3467.3685045253224</v>
      </c>
      <c r="P272" s="50" t="str">
        <f t="shared" si="206"/>
        <v>23.3035714285714</v>
      </c>
      <c r="Q272" s="18" t="str">
        <f t="shared" si="207"/>
        <v>1+11.6711350940415i</v>
      </c>
      <c r="R272" s="18">
        <f t="shared" si="218"/>
        <v>11.713897489024184</v>
      </c>
      <c r="S272" s="18">
        <f t="shared" si="219"/>
        <v>1.4853236105571432</v>
      </c>
      <c r="T272" s="18" t="str">
        <f t="shared" si="208"/>
        <v>1+0.0217861188422108i</v>
      </c>
      <c r="U272" s="18">
        <f t="shared" si="220"/>
        <v>1.0002372893339895</v>
      </c>
      <c r="V272" s="18">
        <f t="shared" si="221"/>
        <v>2.1782673005481448E-2</v>
      </c>
      <c r="W272" s="32" t="str">
        <f t="shared" si="209"/>
        <v>1-0.0532549571698486i</v>
      </c>
      <c r="X272" s="18">
        <f t="shared" si="222"/>
        <v>1.0014170412286594</v>
      </c>
      <c r="Y272" s="18">
        <f t="shared" si="223"/>
        <v>-5.320469737491456E-2</v>
      </c>
      <c r="Z272" s="32" t="str">
        <f t="shared" si="210"/>
        <v>0.999951909422615+0.0261373514279713i</v>
      </c>
      <c r="AA272" s="18">
        <f t="shared" si="224"/>
        <v>1.00029344809291</v>
      </c>
      <c r="AB272" s="18">
        <f t="shared" si="225"/>
        <v>2.6132658021462724E-2</v>
      </c>
      <c r="AC272" s="68" t="str">
        <f t="shared" si="226"/>
        <v>0.0556083580816523-1.99132611832433i</v>
      </c>
      <c r="AD272" s="66">
        <f t="shared" si="227"/>
        <v>5.9862332033052876</v>
      </c>
      <c r="AE272" s="63">
        <f t="shared" si="228"/>
        <v>-88.400414488271693</v>
      </c>
      <c r="AF272" s="51" t="e">
        <f t="shared" si="229"/>
        <v>#NUM!</v>
      </c>
      <c r="AG272" s="51" t="str">
        <f t="shared" si="211"/>
        <v>1-16.3395891316581i</v>
      </c>
      <c r="AH272" s="51">
        <f t="shared" si="230"/>
        <v>16.370161055756281</v>
      </c>
      <c r="AI272" s="51">
        <f t="shared" si="231"/>
        <v>-1.5096715171370672</v>
      </c>
      <c r="AJ272" s="51" t="str">
        <f t="shared" si="212"/>
        <v>1+0.0217861188422108i</v>
      </c>
      <c r="AK272" s="51">
        <f t="shared" si="232"/>
        <v>1.0002372893339895</v>
      </c>
      <c r="AL272" s="51">
        <f t="shared" si="233"/>
        <v>2.1782673005481448E-2</v>
      </c>
      <c r="AM272" s="51" t="e">
        <f t="shared" si="213"/>
        <v>#NUM!</v>
      </c>
      <c r="AN272" s="51" t="e">
        <f t="shared" si="234"/>
        <v>#NUM!</v>
      </c>
      <c r="AO272" s="51" t="e">
        <f t="shared" si="235"/>
        <v>#NUM!</v>
      </c>
      <c r="AP272" s="60" t="e">
        <f t="shared" si="236"/>
        <v>#NUM!</v>
      </c>
      <c r="AQ272" s="51" t="e">
        <f t="shared" si="237"/>
        <v>#NUM!</v>
      </c>
      <c r="AR272" s="63" t="e">
        <f t="shared" si="238"/>
        <v>#NUM!</v>
      </c>
      <c r="AS272" s="32" t="str">
        <f t="shared" si="214"/>
        <v>-0.000170731707317073</v>
      </c>
      <c r="AT272" s="32" t="str">
        <f t="shared" si="215"/>
        <v>0.000827872516004009i</v>
      </c>
      <c r="AU272" s="32">
        <f t="shared" si="239"/>
        <v>8.2787251600400895E-4</v>
      </c>
      <c r="AV272" s="32">
        <f t="shared" si="240"/>
        <v>1.5707963267948966</v>
      </c>
      <c r="AW272" s="32" t="str">
        <f t="shared" si="216"/>
        <v>1+0.176261167811823i</v>
      </c>
      <c r="AX272" s="32">
        <f t="shared" si="241"/>
        <v>1.0154151856646558</v>
      </c>
      <c r="AY272" s="32">
        <f t="shared" si="242"/>
        <v>0.17446909608615965</v>
      </c>
      <c r="AZ272" s="32" t="str">
        <f t="shared" si="217"/>
        <v>1+3.34896218842465i</v>
      </c>
      <c r="BA272" s="32">
        <f t="shared" si="243"/>
        <v>3.4950747831052231</v>
      </c>
      <c r="BB272" s="32">
        <f t="shared" si="244"/>
        <v>1.2806244603883266</v>
      </c>
      <c r="BC272" s="60" t="str">
        <f t="shared" si="245"/>
        <v>-0.634589027442607+0.318082869571559i</v>
      </c>
      <c r="BD272" s="51">
        <f t="shared" si="246"/>
        <v>-2.9767292614543628</v>
      </c>
      <c r="BE272" s="63">
        <f t="shared" si="247"/>
        <v>153.37803386027019</v>
      </c>
      <c r="BF272" s="60" t="str">
        <f t="shared" si="248"/>
        <v>0.598118272096681+1.28136177085927i</v>
      </c>
      <c r="BG272" s="66">
        <f t="shared" si="249"/>
        <v>3.0095039418509066</v>
      </c>
      <c r="BH272" s="63">
        <f t="shared" si="250"/>
        <v>64.977619371998415</v>
      </c>
      <c r="BI272" s="60" t="e">
        <f t="shared" si="255"/>
        <v>#NUM!</v>
      </c>
      <c r="BJ272" s="66" t="e">
        <f t="shared" si="251"/>
        <v>#NUM!</v>
      </c>
      <c r="BK272" s="63" t="e">
        <f t="shared" si="256"/>
        <v>#NUM!</v>
      </c>
      <c r="BL272" s="51">
        <f t="shared" si="252"/>
        <v>3.0095039418509066</v>
      </c>
      <c r="BM272" s="63">
        <f t="shared" si="253"/>
        <v>64.977619371998415</v>
      </c>
    </row>
    <row r="273" spans="14:65" x14ac:dyDescent="0.3">
      <c r="N273" s="11">
        <v>55</v>
      </c>
      <c r="O273" s="52">
        <f t="shared" si="254"/>
        <v>3548.1338923357539</v>
      </c>
      <c r="P273" s="50" t="str">
        <f t="shared" si="206"/>
        <v>23.3035714285714</v>
      </c>
      <c r="Q273" s="18" t="str">
        <f t="shared" si="207"/>
        <v>1+11.9429907536946i</v>
      </c>
      <c r="R273" s="18">
        <f t="shared" si="218"/>
        <v>11.984783191315341</v>
      </c>
      <c r="S273" s="18">
        <f t="shared" si="219"/>
        <v>1.4872600639523623</v>
      </c>
      <c r="T273" s="18" t="str">
        <f t="shared" si="208"/>
        <v>1+0.0222935827402299i</v>
      </c>
      <c r="U273" s="18">
        <f t="shared" si="220"/>
        <v>1.0002484710467672</v>
      </c>
      <c r="V273" s="18">
        <f t="shared" si="221"/>
        <v>2.2289890509186686E-2</v>
      </c>
      <c r="W273" s="32" t="str">
        <f t="shared" si="209"/>
        <v>1-0.0544954244761175i</v>
      </c>
      <c r="X273" s="18">
        <f t="shared" si="222"/>
        <v>1.0014837748505125</v>
      </c>
      <c r="Y273" s="18">
        <f t="shared" si="223"/>
        <v>-5.4441574443964101E-2</v>
      </c>
      <c r="Z273" s="32" t="str">
        <f t="shared" si="210"/>
        <v>0.999949642983528+0.0267461685530223i</v>
      </c>
      <c r="AA273" s="18">
        <f t="shared" si="224"/>
        <v>1.0003072758083644</v>
      </c>
      <c r="AB273" s="18">
        <f t="shared" si="225"/>
        <v>2.6741139560162226E-2</v>
      </c>
      <c r="AC273" s="68" t="str">
        <f t="shared" si="226"/>
        <v>0.0479808624424461-1.946609337316i</v>
      </c>
      <c r="AD273" s="66">
        <f t="shared" si="227"/>
        <v>5.7882137780516993</v>
      </c>
      <c r="AE273" s="63">
        <f t="shared" si="228"/>
        <v>-88.588034932696189</v>
      </c>
      <c r="AF273" s="51" t="e">
        <f t="shared" si="229"/>
        <v>#NUM!</v>
      </c>
      <c r="AG273" s="51" t="str">
        <f t="shared" si="211"/>
        <v>1-16.7201870551725i</v>
      </c>
      <c r="AH273" s="51">
        <f t="shared" si="230"/>
        <v>16.750064333009533</v>
      </c>
      <c r="AI273" s="51">
        <f t="shared" si="231"/>
        <v>-1.5110595416066097</v>
      </c>
      <c r="AJ273" s="51" t="str">
        <f t="shared" si="212"/>
        <v>1+0.0222935827402299i</v>
      </c>
      <c r="AK273" s="51">
        <f t="shared" si="232"/>
        <v>1.0002484710467672</v>
      </c>
      <c r="AL273" s="51">
        <f t="shared" si="233"/>
        <v>2.2289890509186686E-2</v>
      </c>
      <c r="AM273" s="51" t="e">
        <f t="shared" si="213"/>
        <v>#NUM!</v>
      </c>
      <c r="AN273" s="51" t="e">
        <f t="shared" si="234"/>
        <v>#NUM!</v>
      </c>
      <c r="AO273" s="51" t="e">
        <f t="shared" si="235"/>
        <v>#NUM!</v>
      </c>
      <c r="AP273" s="60" t="e">
        <f t="shared" si="236"/>
        <v>#NUM!</v>
      </c>
      <c r="AQ273" s="51" t="e">
        <f t="shared" si="237"/>
        <v>#NUM!</v>
      </c>
      <c r="AR273" s="63" t="e">
        <f t="shared" si="238"/>
        <v>#NUM!</v>
      </c>
      <c r="AS273" s="32" t="str">
        <f t="shared" si="214"/>
        <v>-0.000170731707317073</v>
      </c>
      <c r="AT273" s="32" t="str">
        <f t="shared" si="215"/>
        <v>0.000847156144128737i</v>
      </c>
      <c r="AU273" s="32">
        <f t="shared" si="239"/>
        <v>8.47156144128737E-4</v>
      </c>
      <c r="AV273" s="32">
        <f t="shared" si="240"/>
        <v>1.5707963267948966</v>
      </c>
      <c r="AW273" s="32" t="str">
        <f t="shared" si="216"/>
        <v>1+0.18036681783306i</v>
      </c>
      <c r="AX273" s="32">
        <f t="shared" si="241"/>
        <v>1.0161359106808616</v>
      </c>
      <c r="AY273" s="32">
        <f t="shared" si="242"/>
        <v>0.1784482214153012</v>
      </c>
      <c r="AZ273" s="32" t="str">
        <f t="shared" si="217"/>
        <v>1+3.42696953882814i</v>
      </c>
      <c r="BA273" s="32">
        <f t="shared" si="243"/>
        <v>3.5698907854521202</v>
      </c>
      <c r="BB273" s="32">
        <f t="shared" si="244"/>
        <v>1.2868765753313129</v>
      </c>
      <c r="BC273" s="60" t="str">
        <f t="shared" si="245"/>
        <v>-0.633689143908098+0.315831605117356i</v>
      </c>
      <c r="BD273" s="51">
        <f t="shared" si="246"/>
        <v>-2.9989230326521215</v>
      </c>
      <c r="BE273" s="63">
        <f t="shared" si="247"/>
        <v>153.50826657202074</v>
      </c>
      <c r="BF273" s="60" t="str">
        <f t="shared" si="248"/>
        <v>0.584395799895819+1.2486990772874i</v>
      </c>
      <c r="BG273" s="66">
        <f t="shared" si="249"/>
        <v>2.7892907453995845</v>
      </c>
      <c r="BH273" s="63">
        <f t="shared" si="250"/>
        <v>64.920231639324555</v>
      </c>
      <c r="BI273" s="60" t="e">
        <f t="shared" si="255"/>
        <v>#NUM!</v>
      </c>
      <c r="BJ273" s="66" t="e">
        <f t="shared" si="251"/>
        <v>#NUM!</v>
      </c>
      <c r="BK273" s="63" t="e">
        <f t="shared" si="256"/>
        <v>#NUM!</v>
      </c>
      <c r="BL273" s="51">
        <f t="shared" si="252"/>
        <v>2.7892907453995845</v>
      </c>
      <c r="BM273" s="63">
        <f t="shared" si="253"/>
        <v>64.920231639324555</v>
      </c>
    </row>
    <row r="274" spans="14:65" x14ac:dyDescent="0.3">
      <c r="N274" s="11">
        <v>56</v>
      </c>
      <c r="O274" s="52">
        <f t="shared" si="254"/>
        <v>3630.7805477010188</v>
      </c>
      <c r="P274" s="50" t="str">
        <f t="shared" si="206"/>
        <v>23.3035714285714</v>
      </c>
      <c r="Q274" s="18" t="str">
        <f t="shared" si="207"/>
        <v>1+12.2211787451295i</v>
      </c>
      <c r="R274" s="18">
        <f t="shared" si="218"/>
        <v>12.262023076165084</v>
      </c>
      <c r="S274" s="18">
        <f t="shared" si="219"/>
        <v>1.4891530452673205</v>
      </c>
      <c r="T274" s="18" t="str">
        <f t="shared" si="208"/>
        <v>1+0.0228128669909085i</v>
      </c>
      <c r="U274" s="18">
        <f t="shared" si="220"/>
        <v>1.0002601796034594</v>
      </c>
      <c r="V274" s="18">
        <f t="shared" si="221"/>
        <v>2.2808910749643651E-2</v>
      </c>
      <c r="W274" s="32" t="str">
        <f t="shared" si="209"/>
        <v>1-0.0557647859777763i</v>
      </c>
      <c r="X274" s="18">
        <f t="shared" si="222"/>
        <v>1.0015536487653307</v>
      </c>
      <c r="Y274" s="18">
        <f t="shared" si="223"/>
        <v>-5.5707089461893587E-2</v>
      </c>
      <c r="Z274" s="32" t="str">
        <f t="shared" si="210"/>
        <v>0.999947269730458+0.0273691668506677i</v>
      </c>
      <c r="AA274" s="18">
        <f t="shared" si="224"/>
        <v>1.0003217550046071</v>
      </c>
      <c r="AB274" s="18">
        <f t="shared" si="225"/>
        <v>2.7363778280655397E-2</v>
      </c>
      <c r="AC274" s="68" t="str">
        <f t="shared" si="226"/>
        <v>0.0406920297658452-1.90286755032448i</v>
      </c>
      <c r="AD274" s="66">
        <f t="shared" si="227"/>
        <v>5.5901567792463958</v>
      </c>
      <c r="AE274" s="63">
        <f t="shared" si="228"/>
        <v>-88.774940343763859</v>
      </c>
      <c r="AF274" s="51" t="e">
        <f t="shared" si="229"/>
        <v>#NUM!</v>
      </c>
      <c r="AG274" s="51" t="str">
        <f t="shared" si="211"/>
        <v>1-17.1096502431814i</v>
      </c>
      <c r="AH274" s="51">
        <f t="shared" si="230"/>
        <v>17.138848603217117</v>
      </c>
      <c r="AI274" s="51">
        <f t="shared" si="231"/>
        <v>-1.512416193501936</v>
      </c>
      <c r="AJ274" s="51" t="str">
        <f t="shared" si="212"/>
        <v>1+0.0228128669909085i</v>
      </c>
      <c r="AK274" s="51">
        <f t="shared" si="232"/>
        <v>1.0002601796034594</v>
      </c>
      <c r="AL274" s="51">
        <f t="shared" si="233"/>
        <v>2.2808910749643651E-2</v>
      </c>
      <c r="AM274" s="51" t="e">
        <f t="shared" si="213"/>
        <v>#NUM!</v>
      </c>
      <c r="AN274" s="51" t="e">
        <f t="shared" si="234"/>
        <v>#NUM!</v>
      </c>
      <c r="AO274" s="51" t="e">
        <f t="shared" si="235"/>
        <v>#NUM!</v>
      </c>
      <c r="AP274" s="60" t="e">
        <f t="shared" si="236"/>
        <v>#NUM!</v>
      </c>
      <c r="AQ274" s="51" t="e">
        <f t="shared" si="237"/>
        <v>#NUM!</v>
      </c>
      <c r="AR274" s="63" t="e">
        <f t="shared" si="238"/>
        <v>#NUM!</v>
      </c>
      <c r="AS274" s="32" t="str">
        <f t="shared" si="214"/>
        <v>-0.000170731707317073</v>
      </c>
      <c r="AT274" s="32" t="str">
        <f t="shared" si="215"/>
        <v>0.000866888945654523i</v>
      </c>
      <c r="AU274" s="32">
        <f t="shared" si="239"/>
        <v>8.6688894565452302E-4</v>
      </c>
      <c r="AV274" s="32">
        <f t="shared" si="240"/>
        <v>1.5707963267948966</v>
      </c>
      <c r="AW274" s="32" t="str">
        <f t="shared" si="216"/>
        <v>1+0.18456810072855i</v>
      </c>
      <c r="AX274" s="32">
        <f t="shared" si="241"/>
        <v>1.0168900549255775</v>
      </c>
      <c r="AY274" s="32">
        <f t="shared" si="242"/>
        <v>0.1825141273107716</v>
      </c>
      <c r="AZ274" s="32" t="str">
        <f t="shared" si="217"/>
        <v>1+3.50679391384246i</v>
      </c>
      <c r="BA274" s="32">
        <f t="shared" si="243"/>
        <v>3.6465879331455202</v>
      </c>
      <c r="BB274" s="32">
        <f t="shared" si="244"/>
        <v>1.2930084974204832</v>
      </c>
      <c r="BC274" s="60" t="str">
        <f t="shared" si="245"/>
        <v>-0.632749581540653+0.313733000041726i</v>
      </c>
      <c r="BD274" s="51">
        <f t="shared" si="246"/>
        <v>-3.0207318232114817</v>
      </c>
      <c r="BE274" s="63">
        <f t="shared" si="247"/>
        <v>153.62664058032533</v>
      </c>
      <c r="BF274" s="60" t="str">
        <f t="shared" si="248"/>
        <v>0.571244480438971+1.21680507877133i</v>
      </c>
      <c r="BG274" s="66">
        <f t="shared" si="249"/>
        <v>2.5694249560349252</v>
      </c>
      <c r="BH274" s="63">
        <f t="shared" si="250"/>
        <v>64.851700236561527</v>
      </c>
      <c r="BI274" s="60" t="e">
        <f t="shared" si="255"/>
        <v>#NUM!</v>
      </c>
      <c r="BJ274" s="66" t="e">
        <f t="shared" si="251"/>
        <v>#NUM!</v>
      </c>
      <c r="BK274" s="63" t="e">
        <f t="shared" si="256"/>
        <v>#NUM!</v>
      </c>
      <c r="BL274" s="51">
        <f t="shared" si="252"/>
        <v>2.5694249560349252</v>
      </c>
      <c r="BM274" s="63">
        <f t="shared" si="253"/>
        <v>64.851700236561527</v>
      </c>
    </row>
    <row r="275" spans="14:65" x14ac:dyDescent="0.3">
      <c r="N275" s="11">
        <v>57</v>
      </c>
      <c r="O275" s="52">
        <f t="shared" si="254"/>
        <v>3715.352290971724</v>
      </c>
      <c r="P275" s="50" t="str">
        <f t="shared" ref="P275:P338" si="257">COMPLEX(Adc,0)</f>
        <v>23.3035714285714</v>
      </c>
      <c r="Q275" s="18" t="str">
        <f t="shared" ref="Q275:Q338" si="258">IMSUM(COMPLEX(1,0),IMDIV(COMPLEX(0,2*PI()*O275),COMPLEX(wp_lf,0)))</f>
        <v>1+12.5058465673015i</v>
      </c>
      <c r="R275" s="18">
        <f t="shared" si="218"/>
        <v>12.545764160260894</v>
      </c>
      <c r="S275" s="18">
        <f t="shared" si="219"/>
        <v>1.4910035038894203</v>
      </c>
      <c r="T275" s="18" t="str">
        <f t="shared" ref="T275:T338" si="259">IMSUM(COMPLEX(1,0),IMDIV(COMPLEX(0,2*PI()*O275),COMPLEX(wz_esr,0)))</f>
        <v>1+0.0233442469256296i</v>
      </c>
      <c r="U275" s="18">
        <f t="shared" si="220"/>
        <v>1.0002724398205345</v>
      </c>
      <c r="V275" s="18">
        <f t="shared" si="221"/>
        <v>2.3340007799094818E-2</v>
      </c>
      <c r="W275" s="32" t="str">
        <f t="shared" ref="W275:W338" si="260">IMSUB(COMPLEX(1,0),IMDIV(COMPLEX(0,2*PI()*O275),COMPLEX(wz_rhp,0)))</f>
        <v>1-0.0570637147070946i</v>
      </c>
      <c r="X275" s="18">
        <f t="shared" si="222"/>
        <v>1.0016268105118655</v>
      </c>
      <c r="Y275" s="18">
        <f t="shared" si="223"/>
        <v>-5.7001897198266441E-2</v>
      </c>
      <c r="Z275" s="32" t="str">
        <f t="shared" ref="Z275:Z338" si="261">IMSUM(COMPLEX(1,0),IMDIV(COMPLEX(0,2*PI()*O275),COMPLEX(Q*(wsl/2),0)),IMDIV(IMPOWER(COMPLEX(0,2*PI()*O275),2),IMPOWER(COMPLEX(wsl/2,0),2)))</f>
        <v>0.999944784629416+0.028006676642851i</v>
      </c>
      <c r="AA275" s="18">
        <f t="shared" si="224"/>
        <v>1.0003369163657543</v>
      </c>
      <c r="AB275" s="18">
        <f t="shared" si="225"/>
        <v>2.8000902790312331E-2</v>
      </c>
      <c r="AC275" s="68" t="str">
        <f t="shared" si="226"/>
        <v>0.0337270270206156-1.86008132762248i</v>
      </c>
      <c r="AD275" s="66">
        <f t="shared" si="227"/>
        <v>5.3920662580285681</v>
      </c>
      <c r="AE275" s="63">
        <f t="shared" si="228"/>
        <v>-88.961225757531096</v>
      </c>
      <c r="AF275" s="51" t="e">
        <f t="shared" si="229"/>
        <v>#NUM!</v>
      </c>
      <c r="AG275" s="51" t="str">
        <f t="shared" ref="AG275:AG338" si="262">IMSUM(COMPLEX(1,0),IMDIV(COMPLEX(0,2*PI()*O275),COMPLEX(wp_lf_DCM,0)))</f>
        <v>1-17.5081851942222i</v>
      </c>
      <c r="AH275" s="51">
        <f t="shared" si="230"/>
        <v>17.53672001245334</v>
      </c>
      <c r="AI275" s="51">
        <f t="shared" si="231"/>
        <v>-1.5137421721511564</v>
      </c>
      <c r="AJ275" s="51" t="str">
        <f t="shared" ref="AJ275:AJ338" si="263">IMSUM(COMPLEX(1,0),IMDIV(COMPLEX(0,2*PI()*O275),COMPLEX(wz1_dcm,0)))</f>
        <v>1+0.0233442469256296i</v>
      </c>
      <c r="AK275" s="51">
        <f t="shared" si="232"/>
        <v>1.0002724398205345</v>
      </c>
      <c r="AL275" s="51">
        <f t="shared" si="233"/>
        <v>2.3340007799094818E-2</v>
      </c>
      <c r="AM275" s="51" t="e">
        <f t="shared" ref="AM275:AM338" si="264">IMSUB(COMPLEX(1,0),IMDIV(COMPLEX(0,2*PI()*O275),COMPLEX(wz2_dcm,0)))</f>
        <v>#NUM!</v>
      </c>
      <c r="AN275" s="51" t="e">
        <f t="shared" si="234"/>
        <v>#NUM!</v>
      </c>
      <c r="AO275" s="51" t="e">
        <f t="shared" si="235"/>
        <v>#NUM!</v>
      </c>
      <c r="AP275" s="60" t="e">
        <f t="shared" si="236"/>
        <v>#NUM!</v>
      </c>
      <c r="AQ275" s="51" t="e">
        <f t="shared" si="237"/>
        <v>#NUM!</v>
      </c>
      <c r="AR275" s="63" t="e">
        <f t="shared" si="238"/>
        <v>#NUM!</v>
      </c>
      <c r="AS275" s="32" t="str">
        <f t="shared" ref="AS275:AS338" si="265">COMPLEX(Adc_ea,0)</f>
        <v>-0.000170731707317073</v>
      </c>
      <c r="AT275" s="32" t="str">
        <f t="shared" ref="AT275:AT338" si="266">COMPLEX(0,2*PI()*O275*wp0_ea)</f>
        <v>0.000887081383173923i</v>
      </c>
      <c r="AU275" s="32">
        <f t="shared" si="239"/>
        <v>8.87081383173923E-4</v>
      </c>
      <c r="AV275" s="32">
        <f t="shared" si="240"/>
        <v>1.5707963267948966</v>
      </c>
      <c r="AW275" s="32" t="str">
        <f t="shared" ref="AW275:AW338" si="267">IMSUM(COMPLEX(1,0),IMDIV(COMPLEX(0,2*PI()*O275),COMPLEX(wp1_ea,0)))</f>
        <v>1+0.188867244074094i</v>
      </c>
      <c r="AX275" s="32">
        <f t="shared" si="241"/>
        <v>1.0176791419126872</v>
      </c>
      <c r="AY275" s="32">
        <f t="shared" si="242"/>
        <v>0.18666843157811583</v>
      </c>
      <c r="AZ275" s="32" t="str">
        <f t="shared" ref="AZ275:AZ338" si="268">IMSUM(COMPLEX(1,0),IMDIV(COMPLEX(0,2*PI()*O275),COMPLEX(wz_ea,0)))</f>
        <v>1+3.58847763740778i</v>
      </c>
      <c r="BA275" s="32">
        <f t="shared" si="243"/>
        <v>3.7252076122245481</v>
      </c>
      <c r="BB275" s="32">
        <f t="shared" si="244"/>
        <v>1.2990216326642936</v>
      </c>
      <c r="BC275" s="60" t="str">
        <f t="shared" si="245"/>
        <v>-0.631768720542073+0.311784953716216i</v>
      </c>
      <c r="BD275" s="51">
        <f t="shared" si="246"/>
        <v>-3.0421934673047475</v>
      </c>
      <c r="BE275" s="63">
        <f t="shared" si="247"/>
        <v>153.733143750105</v>
      </c>
      <c r="BF275" s="60" t="str">
        <f t="shared" si="248"/>
        <v>0.55863768993267+1.18565678001486i</v>
      </c>
      <c r="BG275" s="66">
        <f t="shared" si="249"/>
        <v>2.3498727907238037</v>
      </c>
      <c r="BH275" s="63">
        <f t="shared" si="250"/>
        <v>64.771917992573862</v>
      </c>
      <c r="BI275" s="60" t="e">
        <f t="shared" si="255"/>
        <v>#NUM!</v>
      </c>
      <c r="BJ275" s="66" t="e">
        <f t="shared" si="251"/>
        <v>#NUM!</v>
      </c>
      <c r="BK275" s="63" t="e">
        <f t="shared" si="256"/>
        <v>#NUM!</v>
      </c>
      <c r="BL275" s="51">
        <f t="shared" si="252"/>
        <v>2.3498727907238037</v>
      </c>
      <c r="BM275" s="63">
        <f t="shared" si="253"/>
        <v>64.771917992573862</v>
      </c>
    </row>
    <row r="276" spans="14:65" x14ac:dyDescent="0.3">
      <c r="N276" s="11">
        <v>58</v>
      </c>
      <c r="O276" s="52">
        <f t="shared" si="254"/>
        <v>3801.8939632056172</v>
      </c>
      <c r="P276" s="50" t="str">
        <f t="shared" si="257"/>
        <v>23.3035714285714</v>
      </c>
      <c r="Q276" s="18" t="str">
        <f t="shared" si="258"/>
        <v>1+12.797145154858i</v>
      </c>
      <c r="R276" s="18">
        <f t="shared" ref="R276:R339" si="269">IMABS(Q276)</f>
        <v>12.836156905963154</v>
      </c>
      <c r="S276" s="18">
        <f t="shared" ref="S276:S339" si="270">IMARGUMENT(Q276)</f>
        <v>1.4928123702373832</v>
      </c>
      <c r="T276" s="18" t="str">
        <f t="shared" si="259"/>
        <v>1+0.0238880042890683i</v>
      </c>
      <c r="U276" s="18">
        <f t="shared" ref="U276:U339" si="271">IMABS(T276)</f>
        <v>1.0002852776827791</v>
      </c>
      <c r="V276" s="18">
        <f t="shared" ref="V276:V339" si="272">IMARGUMENT(T276)</f>
        <v>2.3883462053111773E-2</v>
      </c>
      <c r="W276" s="32" t="str">
        <f t="shared" si="260"/>
        <v>1-0.0583928993732781i</v>
      </c>
      <c r="X276" s="18">
        <f t="shared" ref="X276:X339" si="273">IMABS(W276)</f>
        <v>1.0017034145380648</v>
      </c>
      <c r="Y276" s="18">
        <f t="shared" ref="Y276:Y339" si="274">IMARGUMENT(W276)</f>
        <v>-5.8326666801210306E-2</v>
      </c>
      <c r="Z276" s="32" t="str">
        <f t="shared" si="261"/>
        <v>0.99994218240917+0.0286590359457025i</v>
      </c>
      <c r="AA276" s="18">
        <f t="shared" ref="AA276:AA339" si="275">IMABS(Z276)</f>
        <v>1.0003527920201705</v>
      </c>
      <c r="AB276" s="18">
        <f t="shared" ref="AB276:AB339" si="276">IMARGUMENT(Z276)</f>
        <v>2.865284926821501E-2</v>
      </c>
      <c r="AC276" s="68" t="str">
        <f t="shared" ref="AC276:AC339" si="277">(IMDIV(IMPRODUCT(P276,T276,W276),IMPRODUCT(Q276,Z276)))</f>
        <v>0.0270716535456397-1.81823150040106i</v>
      </c>
      <c r="AD276" s="66">
        <f t="shared" ref="AD276:AD339" si="278">20*LOG(IMABS(AC276))</f>
        <v>5.1939461984500035</v>
      </c>
      <c r="AE276" s="63">
        <f t="shared" ref="AE276:AE339" si="279">(180/PI())*IMARGUMENT(AC276)</f>
        <v>-89.146986018587157</v>
      </c>
      <c r="AF276" s="51" t="e">
        <f t="shared" ref="AF276:AF339" si="280">COMPLEX($B$68,0)</f>
        <v>#NUM!</v>
      </c>
      <c r="AG276" s="51" t="str">
        <f t="shared" si="262"/>
        <v>1-17.9160032168013i</v>
      </c>
      <c r="AH276" s="51">
        <f t="shared" ref="AH276:AH339" si="281">IMABS(AG276)</f>
        <v>17.943889524415674</v>
      </c>
      <c r="AI276" s="51">
        <f t="shared" ref="AI276:AI339" si="282">IMARGUMENT(AG276)</f>
        <v>-1.5150381619442608</v>
      </c>
      <c r="AJ276" s="51" t="str">
        <f t="shared" si="263"/>
        <v>1+0.0238880042890683i</v>
      </c>
      <c r="AK276" s="51">
        <f t="shared" ref="AK276:AK339" si="283">IMABS(AJ276)</f>
        <v>1.0002852776827791</v>
      </c>
      <c r="AL276" s="51">
        <f t="shared" ref="AL276:AL339" si="284">IMARGUMENT(AJ276)</f>
        <v>2.3883462053111773E-2</v>
      </c>
      <c r="AM276" s="51" t="e">
        <f t="shared" si="264"/>
        <v>#NUM!</v>
      </c>
      <c r="AN276" s="51" t="e">
        <f t="shared" ref="AN276:AN339" si="285">IMABS(AM276)</f>
        <v>#NUM!</v>
      </c>
      <c r="AO276" s="51" t="e">
        <f t="shared" ref="AO276:AO339" si="286">IMARGUMENT(AM276)</f>
        <v>#NUM!</v>
      </c>
      <c r="AP276" s="60" t="e">
        <f t="shared" ref="AP276:AP339" si="287">(IMDIV(IMPRODUCT(AF276,AJ276,AM276),IMPRODUCT(AG276)))</f>
        <v>#NUM!</v>
      </c>
      <c r="AQ276" s="51" t="e">
        <f t="shared" ref="AQ276:AQ339" si="288">20*LOG(IMABS(AP276))</f>
        <v>#NUM!</v>
      </c>
      <c r="AR276" s="63" t="e">
        <f t="shared" ref="AR276:AR339" si="289">(180/PI())*IMARGUMENT(AP276)</f>
        <v>#NUM!</v>
      </c>
      <c r="AS276" s="32" t="str">
        <f t="shared" si="265"/>
        <v>-0.000170731707317073</v>
      </c>
      <c r="AT276" s="32" t="str">
        <f t="shared" si="266"/>
        <v>0.000907744162984595i</v>
      </c>
      <c r="AU276" s="32">
        <f t="shared" ref="AU276:AU339" si="290">IMABS(AT276)</f>
        <v>9.0774416298459505E-4</v>
      </c>
      <c r="AV276" s="32">
        <f t="shared" ref="AV276:AV339" si="291">IMARGUMENT(AT276)</f>
        <v>1.5707963267948966</v>
      </c>
      <c r="AW276" s="32" t="str">
        <f t="shared" si="267"/>
        <v>1+0.193266527332399i</v>
      </c>
      <c r="AX276" s="32">
        <f t="shared" ref="AX276:AX339" si="292">IMABS(AW276)</f>
        <v>1.0185047621818588</v>
      </c>
      <c r="AY276" s="32">
        <f t="shared" ref="AY276:AY339" si="293">IMARGUMENT(AW276)</f>
        <v>0.19091276303649224</v>
      </c>
      <c r="AZ276" s="32" t="str">
        <f t="shared" si="268"/>
        <v>1+3.67206401931558i</v>
      </c>
      <c r="BA276" s="32">
        <f t="shared" ref="BA276:BA339" si="294">IMABS(AZ276)</f>
        <v>3.8057921858598762</v>
      </c>
      <c r="BB276" s="32">
        <f t="shared" ref="BB276:BB339" si="295">IMARGUMENT(AZ276)</f>
        <v>1.3049174292483496</v>
      </c>
      <c r="BC276" s="60" t="str">
        <f t="shared" ref="BC276:BC339" si="296">IMPRODUCT(AS276,IMDIV(AZ276,IMPRODUCT(AT276,AW276)))</f>
        <v>-0.630744887035628+0.309985382805357i</v>
      </c>
      <c r="BD276" s="51">
        <f t="shared" ref="BD276:BD339" si="297">20*LOG(IMABS(BC276))</f>
        <v>-3.0633455111205263</v>
      </c>
      <c r="BE276" s="63">
        <f t="shared" ref="BE276:BE339" si="298">(180/PI())*IMARGUMENT(BC276)</f>
        <v>153.82776573181943</v>
      </c>
      <c r="BF276" s="60" t="str">
        <f t="shared" ref="BF276:BF339" si="299">IMPRODUCT(AC276,BC276)</f>
        <v>0.546549880623069+1.15523203921261i</v>
      </c>
      <c r="BG276" s="66">
        <f t="shared" ref="BG276:BG339" si="300">20*LOG(IMABS(BF276))</f>
        <v>2.1306006873294998</v>
      </c>
      <c r="BH276" s="63">
        <f t="shared" ref="BH276:BH339" si="301">(180/PI())*IMARGUMENT(BF276)</f>
        <v>64.680779713232354</v>
      </c>
      <c r="BI276" s="60" t="e">
        <f t="shared" si="255"/>
        <v>#NUM!</v>
      </c>
      <c r="BJ276" s="66" t="e">
        <f t="shared" ref="BJ276:BJ339" si="302">20*LOG(IMABS(BI276))</f>
        <v>#NUM!</v>
      </c>
      <c r="BK276" s="63" t="e">
        <f t="shared" si="256"/>
        <v>#NUM!</v>
      </c>
      <c r="BL276" s="51">
        <f t="shared" ref="BL276:BL339" si="303">IF($B$31=0,BJ276,BG276)</f>
        <v>2.1306006873294998</v>
      </c>
      <c r="BM276" s="63">
        <f t="shared" ref="BM276:BM339" si="304">IF($B$31=0,BK276,BH276)</f>
        <v>64.680779713232354</v>
      </c>
    </row>
    <row r="277" spans="14:65" x14ac:dyDescent="0.3">
      <c r="N277" s="11">
        <v>59</v>
      </c>
      <c r="O277" s="52">
        <f t="shared" si="254"/>
        <v>3890.451449942811</v>
      </c>
      <c r="P277" s="50" t="str">
        <f t="shared" si="257"/>
        <v>23.3035714285714</v>
      </c>
      <c r="Q277" s="18" t="str">
        <f t="shared" si="258"/>
        <v>1+13.0952289581658i</v>
      </c>
      <c r="R277" s="18">
        <f t="shared" si="269"/>
        <v>13.133355301170534</v>
      </c>
      <c r="S277" s="18">
        <f t="shared" si="270"/>
        <v>1.4945805560208139</v>
      </c>
      <c r="T277" s="18" t="str">
        <f t="shared" si="259"/>
        <v>1+0.0244444273885762i</v>
      </c>
      <c r="U277" s="18">
        <f t="shared" si="271"/>
        <v>1.0002987203982394</v>
      </c>
      <c r="V277" s="18">
        <f t="shared" si="272"/>
        <v>2.4439560373556487E-2</v>
      </c>
      <c r="W277" s="32" t="str">
        <f t="shared" si="260"/>
        <v>1-0.0597530447276307i</v>
      </c>
      <c r="X277" s="18">
        <f t="shared" si="273"/>
        <v>1.0017836225224599</v>
      </c>
      <c r="Y277" s="18">
        <f t="shared" si="274"/>
        <v>-5.9682082070662848E-2</v>
      </c>
      <c r="Z277" s="32" t="str">
        <f t="shared" si="261"/>
        <v>0.999939457550063+0.0293265906487596i</v>
      </c>
      <c r="AA277" s="18">
        <f t="shared" si="275"/>
        <v>1.0003694156083514</v>
      </c>
      <c r="AB277" s="18">
        <f t="shared" si="276"/>
        <v>2.9319961635636594E-2</v>
      </c>
      <c r="AC277" s="68" t="str">
        <f t="shared" si="277"/>
        <v>0.0207123156354717-1.77729916642915i</v>
      </c>
      <c r="AD277" s="66">
        <f t="shared" si="278"/>
        <v>4.9958005253747295</v>
      </c>
      <c r="AE277" s="63">
        <f t="shared" si="279"/>
        <v>-89.332315812158413</v>
      </c>
      <c r="AF277" s="51" t="e">
        <f t="shared" si="280"/>
        <v>#NUM!</v>
      </c>
      <c r="AG277" s="51" t="str">
        <f t="shared" si="262"/>
        <v>1-18.3333205414322i</v>
      </c>
      <c r="AH277" s="51">
        <f t="shared" si="281"/>
        <v>18.360573032313013</v>
      </c>
      <c r="AI277" s="51">
        <f t="shared" si="282"/>
        <v>-1.5163048326084863</v>
      </c>
      <c r="AJ277" s="51" t="str">
        <f t="shared" si="263"/>
        <v>1+0.0244444273885762i</v>
      </c>
      <c r="AK277" s="51">
        <f t="shared" si="283"/>
        <v>1.0002987203982394</v>
      </c>
      <c r="AL277" s="51">
        <f t="shared" si="284"/>
        <v>2.4439560373556487E-2</v>
      </c>
      <c r="AM277" s="51" t="e">
        <f t="shared" si="264"/>
        <v>#NUM!</v>
      </c>
      <c r="AN277" s="51" t="e">
        <f t="shared" si="285"/>
        <v>#NUM!</v>
      </c>
      <c r="AO277" s="51" t="e">
        <f t="shared" si="286"/>
        <v>#NUM!</v>
      </c>
      <c r="AP277" s="60" t="e">
        <f t="shared" si="287"/>
        <v>#NUM!</v>
      </c>
      <c r="AQ277" s="51" t="e">
        <f t="shared" si="288"/>
        <v>#NUM!</v>
      </c>
      <c r="AR277" s="63" t="e">
        <f t="shared" si="289"/>
        <v>#NUM!</v>
      </c>
      <c r="AS277" s="32" t="str">
        <f t="shared" si="265"/>
        <v>-0.000170731707317073</v>
      </c>
      <c r="AT277" s="32" t="str">
        <f t="shared" si="266"/>
        <v>0.000928888240765895i</v>
      </c>
      <c r="AU277" s="32">
        <f t="shared" si="290"/>
        <v>9.2888824076589496E-4</v>
      </c>
      <c r="AV277" s="32">
        <f t="shared" si="291"/>
        <v>1.5707963267948966</v>
      </c>
      <c r="AW277" s="32" t="str">
        <f t="shared" si="267"/>
        <v>1+0.19776828306168i</v>
      </c>
      <c r="AX277" s="32">
        <f t="shared" si="292"/>
        <v>1.0193685760239841</v>
      </c>
      <c r="AY277" s="32">
        <f t="shared" si="293"/>
        <v>0.19524876011939152</v>
      </c>
      <c r="AZ277" s="32" t="str">
        <f t="shared" si="268"/>
        <v>1+3.75759737817194i</v>
      </c>
      <c r="BA277" s="32">
        <f t="shared" si="294"/>
        <v>3.8883850190592799</v>
      </c>
      <c r="BB277" s="32">
        <f t="shared" si="295"/>
        <v>1.3106973730224956</v>
      </c>
      <c r="BC277" s="60" t="str">
        <f t="shared" si="296"/>
        <v>-0.629676352404452+0.308332216600955i</v>
      </c>
      <c r="BD277" s="51">
        <f t="shared" si="297"/>
        <v>-3.0842252389672731</v>
      </c>
      <c r="BE277" s="63">
        <f t="shared" si="298"/>
        <v>153.91049778306976</v>
      </c>
      <c r="BF277" s="60" t="str">
        <f t="shared" si="299"/>
        <v>0.534956536188936+1.1255095304394i</v>
      </c>
      <c r="BG277" s="66">
        <f t="shared" si="300"/>
        <v>1.9115752864074325</v>
      </c>
      <c r="BH277" s="63">
        <f t="shared" si="301"/>
        <v>64.578181970911274</v>
      </c>
      <c r="BI277" s="60" t="e">
        <f t="shared" si="255"/>
        <v>#NUM!</v>
      </c>
      <c r="BJ277" s="66" t="e">
        <f t="shared" si="302"/>
        <v>#NUM!</v>
      </c>
      <c r="BK277" s="63" t="e">
        <f t="shared" si="256"/>
        <v>#NUM!</v>
      </c>
      <c r="BL277" s="51">
        <f t="shared" si="303"/>
        <v>1.9115752864074325</v>
      </c>
      <c r="BM277" s="63">
        <f t="shared" si="304"/>
        <v>64.578181970911274</v>
      </c>
    </row>
    <row r="278" spans="14:65" x14ac:dyDescent="0.3">
      <c r="N278" s="11">
        <v>60</v>
      </c>
      <c r="O278" s="52">
        <f t="shared" si="254"/>
        <v>3981.0717055349769</v>
      </c>
      <c r="P278" s="50" t="str">
        <f t="shared" si="257"/>
        <v>23.3035714285714</v>
      </c>
      <c r="Q278" s="18" t="str">
        <f t="shared" si="258"/>
        <v>1+13.400256025203i</v>
      </c>
      <c r="R278" s="18">
        <f t="shared" si="269"/>
        <v>13.437516941049388</v>
      </c>
      <c r="S278" s="18">
        <f t="shared" si="270"/>
        <v>1.4963089545049097</v>
      </c>
      <c r="T278" s="18" t="str">
        <f t="shared" si="259"/>
        <v>1+0.0250138112470457i</v>
      </c>
      <c r="U278" s="18">
        <f t="shared" si="271"/>
        <v>1.0003127964557401</v>
      </c>
      <c r="V278" s="18">
        <f t="shared" si="272"/>
        <v>2.5008596234564421E-2</v>
      </c>
      <c r="W278" s="32" t="str">
        <f t="shared" si="260"/>
        <v>1-0.0611448719372228i</v>
      </c>
      <c r="X278" s="18">
        <f t="shared" si="273"/>
        <v>1.0018676037103003</v>
      </c>
      <c r="Y278" s="18">
        <f t="shared" si="274"/>
        <v>-6.106884173366417E-2</v>
      </c>
      <c r="Z278" s="32" t="str">
        <f t="shared" si="261"/>
        <v>0.999936604272302+0.0300096946983619i</v>
      </c>
      <c r="AA278" s="18">
        <f t="shared" si="275"/>
        <v>1.0003868223539889</v>
      </c>
      <c r="AB278" s="18">
        <f t="shared" si="276"/>
        <v>3.0002591730072664E-2</v>
      </c>
      <c r="AC278" s="68" t="str">
        <f t="shared" si="277"/>
        <v>0.0146360020105754-1.73726569486023i</v>
      </c>
      <c r="AD278" s="66">
        <f t="shared" si="278"/>
        <v>4.7976331122818303</v>
      </c>
      <c r="AE278" s="63">
        <f t="shared" si="279"/>
        <v>-89.517309696655346</v>
      </c>
      <c r="AF278" s="51" t="e">
        <f t="shared" si="280"/>
        <v>#NUM!</v>
      </c>
      <c r="AG278" s="51" t="str">
        <f t="shared" si="262"/>
        <v>1-18.7603584352843i</v>
      </c>
      <c r="AH278" s="51">
        <f t="shared" si="281"/>
        <v>18.786991473366424</v>
      </c>
      <c r="AI278" s="51">
        <f t="shared" si="282"/>
        <v>-1.5175428394816513</v>
      </c>
      <c r="AJ278" s="51" t="str">
        <f t="shared" si="263"/>
        <v>1+0.0250138112470457i</v>
      </c>
      <c r="AK278" s="51">
        <f t="shared" si="283"/>
        <v>1.0003127964557401</v>
      </c>
      <c r="AL278" s="51">
        <f t="shared" si="284"/>
        <v>2.5008596234564421E-2</v>
      </c>
      <c r="AM278" s="51" t="e">
        <f t="shared" si="264"/>
        <v>#NUM!</v>
      </c>
      <c r="AN278" s="51" t="e">
        <f t="shared" si="285"/>
        <v>#NUM!</v>
      </c>
      <c r="AO278" s="51" t="e">
        <f t="shared" si="286"/>
        <v>#NUM!</v>
      </c>
      <c r="AP278" s="60" t="e">
        <f t="shared" si="287"/>
        <v>#NUM!</v>
      </c>
      <c r="AQ278" s="51" t="e">
        <f t="shared" si="288"/>
        <v>#NUM!</v>
      </c>
      <c r="AR278" s="63" t="e">
        <f t="shared" si="289"/>
        <v>#NUM!</v>
      </c>
      <c r="AS278" s="32" t="str">
        <f t="shared" si="265"/>
        <v>-0.000170731707317073</v>
      </c>
      <c r="AT278" s="32" t="str">
        <f t="shared" si="266"/>
        <v>0.000950524827387738i</v>
      </c>
      <c r="AU278" s="32">
        <f t="shared" si="290"/>
        <v>9.5052482738773798E-4</v>
      </c>
      <c r="AV278" s="32">
        <f t="shared" si="291"/>
        <v>1.5707963267948966</v>
      </c>
      <c r="AW278" s="32" t="str">
        <f t="shared" si="267"/>
        <v>1+0.202374898152414i</v>
      </c>
      <c r="AX278" s="32">
        <f t="shared" si="292"/>
        <v>1.0202723162970757</v>
      </c>
      <c r="AY278" s="32">
        <f t="shared" si="293"/>
        <v>0.19967806935238563</v>
      </c>
      <c r="AZ278" s="32" t="str">
        <f t="shared" si="268"/>
        <v>1+3.84512306489587i</v>
      </c>
      <c r="BA278" s="32">
        <f t="shared" si="294"/>
        <v>3.9730305038086744</v>
      </c>
      <c r="BB278" s="32">
        <f t="shared" si="295"/>
        <v>1.3163629832008521</v>
      </c>
      <c r="BC278" s="60" t="str">
        <f t="shared" si="296"/>
        <v>-0.628561332745621+0.306823392206663i</v>
      </c>
      <c r="BD278" s="51">
        <f t="shared" si="297"/>
        <v>-3.1048697008641191</v>
      </c>
      <c r="BE278" s="63">
        <f t="shared" si="298"/>
        <v>153.98133260944707</v>
      </c>
      <c r="BF278" s="60" t="str">
        <f t="shared" si="299"/>
        <v>0.523834128731446+1.09646870827982i</v>
      </c>
      <c r="BG278" s="66">
        <f t="shared" si="300"/>
        <v>1.6927634114176959</v>
      </c>
      <c r="BH278" s="63">
        <f t="shared" si="301"/>
        <v>64.464022912791691</v>
      </c>
      <c r="BI278" s="60" t="e">
        <f t="shared" si="255"/>
        <v>#NUM!</v>
      </c>
      <c r="BJ278" s="66" t="e">
        <f t="shared" si="302"/>
        <v>#NUM!</v>
      </c>
      <c r="BK278" s="63" t="e">
        <f t="shared" si="256"/>
        <v>#NUM!</v>
      </c>
      <c r="BL278" s="51">
        <f t="shared" si="303"/>
        <v>1.6927634114176959</v>
      </c>
      <c r="BM278" s="63">
        <f t="shared" si="304"/>
        <v>64.464022912791691</v>
      </c>
    </row>
    <row r="279" spans="14:65" x14ac:dyDescent="0.3">
      <c r="N279" s="11">
        <v>61</v>
      </c>
      <c r="O279" s="52">
        <f t="shared" si="254"/>
        <v>4073.8027780411317</v>
      </c>
      <c r="P279" s="50" t="str">
        <f t="shared" si="257"/>
        <v>23.3035714285714</v>
      </c>
      <c r="Q279" s="18" t="str">
        <f t="shared" si="258"/>
        <v>1+13.7123880853582i</v>
      </c>
      <c r="R279" s="18">
        <f t="shared" si="269"/>
        <v>13.748803111670249</v>
      </c>
      <c r="S279" s="18">
        <f t="shared" si="270"/>
        <v>1.4979984407795071</v>
      </c>
      <c r="T279" s="18" t="str">
        <f t="shared" si="259"/>
        <v>1+0.0255964577593354i</v>
      </c>
      <c r="U279" s="18">
        <f t="shared" si="271"/>
        <v>1.0003275356851002</v>
      </c>
      <c r="V279" s="18">
        <f t="shared" si="272"/>
        <v>2.5590869871598129E-2</v>
      </c>
      <c r="W279" s="32" t="str">
        <f t="shared" si="260"/>
        <v>1-0.0625691189672643i</v>
      </c>
      <c r="X279" s="18">
        <f t="shared" si="273"/>
        <v>1.0019555352650833</v>
      </c>
      <c r="Y279" s="18">
        <f t="shared" si="274"/>
        <v>-6.2487659721445876E-2</v>
      </c>
      <c r="Z279" s="32" t="str">
        <f t="shared" si="261"/>
        <v>0.999933616523702+0.0307087102853187i</v>
      </c>
      <c r="AA279" s="18">
        <f t="shared" si="275"/>
        <v>1.0004050491383767</v>
      </c>
      <c r="AB279" s="18">
        <f t="shared" si="276"/>
        <v>3.0701099482877532E-2</v>
      </c>
      <c r="AC279" s="68" t="str">
        <f t="shared" si="277"/>
        <v>0.00883026015420118-1.69811273024826i</v>
      </c>
      <c r="AD279" s="66">
        <f t="shared" si="278"/>
        <v>4.5994477889823511</v>
      </c>
      <c r="AE279" s="63">
        <f t="shared" si="279"/>
        <v>-89.702062136601299</v>
      </c>
      <c r="AF279" s="51" t="e">
        <f t="shared" si="280"/>
        <v>#NUM!</v>
      </c>
      <c r="AG279" s="51" t="str">
        <f t="shared" si="262"/>
        <v>1-19.1973433195016i</v>
      </c>
      <c r="AH279" s="51">
        <f t="shared" si="281"/>
        <v>19.223370945981682</v>
      </c>
      <c r="AI279" s="51">
        <f t="shared" si="282"/>
        <v>-1.5187528237832237</v>
      </c>
      <c r="AJ279" s="51" t="str">
        <f t="shared" si="263"/>
        <v>1+0.0255964577593354i</v>
      </c>
      <c r="AK279" s="51">
        <f t="shared" si="283"/>
        <v>1.0003275356851002</v>
      </c>
      <c r="AL279" s="51">
        <f t="shared" si="284"/>
        <v>2.5590869871598129E-2</v>
      </c>
      <c r="AM279" s="51" t="e">
        <f t="shared" si="264"/>
        <v>#NUM!</v>
      </c>
      <c r="AN279" s="51" t="e">
        <f t="shared" si="285"/>
        <v>#NUM!</v>
      </c>
      <c r="AO279" s="51" t="e">
        <f t="shared" si="286"/>
        <v>#NUM!</v>
      </c>
      <c r="AP279" s="60" t="e">
        <f t="shared" si="287"/>
        <v>#NUM!</v>
      </c>
      <c r="AQ279" s="51" t="e">
        <f t="shared" si="288"/>
        <v>#NUM!</v>
      </c>
      <c r="AR279" s="63" t="e">
        <f t="shared" si="289"/>
        <v>#NUM!</v>
      </c>
      <c r="AS279" s="32" t="str">
        <f t="shared" si="265"/>
        <v>-0.000170731707317073</v>
      </c>
      <c r="AT279" s="32" t="str">
        <f t="shared" si="266"/>
        <v>0.000972665394854746i</v>
      </c>
      <c r="AU279" s="32">
        <f t="shared" si="290"/>
        <v>9.7266539485474596E-4</v>
      </c>
      <c r="AV279" s="32">
        <f t="shared" si="291"/>
        <v>1.5707963267948966</v>
      </c>
      <c r="AW279" s="32" t="str">
        <f t="shared" si="267"/>
        <v>1+0.207088815092896i</v>
      </c>
      <c r="AX279" s="32">
        <f t="shared" si="292"/>
        <v>1.0212177913337486</v>
      </c>
      <c r="AY279" s="32">
        <f t="shared" si="293"/>
        <v>0.20420234370156648</v>
      </c>
      <c r="AZ279" s="32" t="str">
        <f t="shared" si="268"/>
        <v>1+3.93468748676504i</v>
      </c>
      <c r="BA279" s="32">
        <f t="shared" si="294"/>
        <v>4.0597740846635029</v>
      </c>
      <c r="BB279" s="32">
        <f t="shared" si="295"/>
        <v>1.3219158082731195</v>
      </c>
      <c r="BC279" s="60" t="str">
        <f t="shared" si="296"/>
        <v>-0.627397988454965+0.305456849569017i</v>
      </c>
      <c r="BD279" s="51">
        <f t="shared" si="297"/>
        <v>-3.125315741432499</v>
      </c>
      <c r="BE279" s="63">
        <f t="shared" si="298"/>
        <v>154.04026422489497</v>
      </c>
      <c r="BF279" s="60" t="str">
        <f t="shared" si="299"/>
        <v>0.513160077336396+1.0680897745751i</v>
      </c>
      <c r="BG279" s="66">
        <f t="shared" si="300"/>
        <v>1.4741320475498263</v>
      </c>
      <c r="BH279" s="63">
        <f t="shared" si="301"/>
        <v>64.338202088293571</v>
      </c>
      <c r="BI279" s="60" t="e">
        <f t="shared" si="255"/>
        <v>#NUM!</v>
      </c>
      <c r="BJ279" s="66" t="e">
        <f t="shared" si="302"/>
        <v>#NUM!</v>
      </c>
      <c r="BK279" s="63" t="e">
        <f t="shared" si="256"/>
        <v>#NUM!</v>
      </c>
      <c r="BL279" s="51">
        <f t="shared" si="303"/>
        <v>1.4741320475498263</v>
      </c>
      <c r="BM279" s="63">
        <f t="shared" si="304"/>
        <v>64.338202088293571</v>
      </c>
    </row>
    <row r="280" spans="14:65" x14ac:dyDescent="0.3">
      <c r="N280" s="11">
        <v>62</v>
      </c>
      <c r="O280" s="52">
        <f t="shared" si="254"/>
        <v>4168.6938347033583</v>
      </c>
      <c r="P280" s="50" t="str">
        <f t="shared" si="257"/>
        <v>23.3035714285714</v>
      </c>
      <c r="Q280" s="18" t="str">
        <f t="shared" si="258"/>
        <v>1+14.0317906351812i</v>
      </c>
      <c r="R280" s="18">
        <f t="shared" si="269"/>
        <v>14.067378875595795</v>
      </c>
      <c r="S280" s="18">
        <f t="shared" si="270"/>
        <v>1.4996498720317091</v>
      </c>
      <c r="T280" s="18" t="str">
        <f t="shared" si="259"/>
        <v>1+0.0261926758523383i</v>
      </c>
      <c r="U280" s="18">
        <f t="shared" si="271"/>
        <v>1.0003429693201755</v>
      </c>
      <c r="V280" s="18">
        <f t="shared" si="272"/>
        <v>2.6186688433618079E-2</v>
      </c>
      <c r="W280" s="32" t="str">
        <f t="shared" si="260"/>
        <v>1-0.0640265409723825i</v>
      </c>
      <c r="X280" s="18">
        <f t="shared" si="273"/>
        <v>1.0020476026361662</v>
      </c>
      <c r="Y280" s="18">
        <f t="shared" si="274"/>
        <v>-6.3939265448038726E-2</v>
      </c>
      <c r="Z280" s="32" t="str">
        <f t="shared" si="261"/>
        <v>0.99993048796685+0.0314240080369466i</v>
      </c>
      <c r="AA280" s="18">
        <f t="shared" si="275"/>
        <v>1.0004241345782943</v>
      </c>
      <c r="AB280" s="18">
        <f t="shared" si="276"/>
        <v>3.1415853100556015E-2</v>
      </c>
      <c r="AC280" s="68" t="str">
        <f t="shared" si="277"/>
        <v>0.00328317349689853-1.65982219583197i</v>
      </c>
      <c r="AD280" s="66">
        <f t="shared" si="278"/>
        <v>4.4012483492648862</v>
      </c>
      <c r="AE280" s="63">
        <f t="shared" si="279"/>
        <v>-89.886667535884683</v>
      </c>
      <c r="AF280" s="51" t="e">
        <f t="shared" si="280"/>
        <v>#NUM!</v>
      </c>
      <c r="AG280" s="51" t="str">
        <f t="shared" si="262"/>
        <v>1-19.6445068892538i</v>
      </c>
      <c r="AH280" s="51">
        <f t="shared" si="281"/>
        <v>19.669942829656115</v>
      </c>
      <c r="AI280" s="51">
        <f t="shared" si="282"/>
        <v>-1.5199354128829221</v>
      </c>
      <c r="AJ280" s="51" t="str">
        <f t="shared" si="263"/>
        <v>1+0.0261926758523383i</v>
      </c>
      <c r="AK280" s="51">
        <f t="shared" si="283"/>
        <v>1.0003429693201755</v>
      </c>
      <c r="AL280" s="51">
        <f t="shared" si="284"/>
        <v>2.6186688433618079E-2</v>
      </c>
      <c r="AM280" s="51" t="e">
        <f t="shared" si="264"/>
        <v>#NUM!</v>
      </c>
      <c r="AN280" s="51" t="e">
        <f t="shared" si="285"/>
        <v>#NUM!</v>
      </c>
      <c r="AO280" s="51" t="e">
        <f t="shared" si="286"/>
        <v>#NUM!</v>
      </c>
      <c r="AP280" s="60" t="e">
        <f t="shared" si="287"/>
        <v>#NUM!</v>
      </c>
      <c r="AQ280" s="51" t="e">
        <f t="shared" si="288"/>
        <v>#NUM!</v>
      </c>
      <c r="AR280" s="63" t="e">
        <f t="shared" si="289"/>
        <v>#NUM!</v>
      </c>
      <c r="AS280" s="32" t="str">
        <f t="shared" si="265"/>
        <v>-0.000170731707317073</v>
      </c>
      <c r="AT280" s="32" t="str">
        <f t="shared" si="266"/>
        <v>0.000995321682388854i</v>
      </c>
      <c r="AU280" s="32">
        <f t="shared" si="290"/>
        <v>9.9532168238885394E-4</v>
      </c>
      <c r="AV280" s="32">
        <f t="shared" si="291"/>
        <v>1.5707963267948966</v>
      </c>
      <c r="AW280" s="32" t="str">
        <f t="shared" si="267"/>
        <v>1+0.211912533264286i</v>
      </c>
      <c r="AX280" s="32">
        <f t="shared" si="292"/>
        <v>1.0222068879412265</v>
      </c>
      <c r="AY280" s="32">
        <f t="shared" si="293"/>
        <v>0.20882324078625525</v>
      </c>
      <c r="AZ280" s="32" t="str">
        <f t="shared" si="268"/>
        <v>1+4.02633813202145i</v>
      </c>
      <c r="BA280" s="32">
        <f t="shared" si="294"/>
        <v>4.1486622848057877</v>
      </c>
      <c r="BB280" s="32">
        <f t="shared" si="295"/>
        <v>1.3273574221245483</v>
      </c>
      <c r="BC280" s="60" t="str">
        <f t="shared" si="296"/>
        <v>-0.626184423958675+0.30423052635186i</v>
      </c>
      <c r="BD280" s="51">
        <f t="shared" si="297"/>
        <v>-3.1456000299061406</v>
      </c>
      <c r="BE280" s="63">
        <f t="shared" si="298"/>
        <v>154.0872878318049</v>
      </c>
      <c r="BF280" s="60" t="str">
        <f t="shared" si="299"/>
        <v>0.502912708183548+1.04035364717193i</v>
      </c>
      <c r="BG280" s="66">
        <f t="shared" si="300"/>
        <v>1.2556483193587344</v>
      </c>
      <c r="BH280" s="63">
        <f t="shared" si="301"/>
        <v>64.200620295920231</v>
      </c>
      <c r="BI280" s="60" t="e">
        <f t="shared" si="255"/>
        <v>#NUM!</v>
      </c>
      <c r="BJ280" s="66" t="e">
        <f t="shared" si="302"/>
        <v>#NUM!</v>
      </c>
      <c r="BK280" s="63" t="e">
        <f t="shared" si="256"/>
        <v>#NUM!</v>
      </c>
      <c r="BL280" s="51">
        <f t="shared" si="303"/>
        <v>1.2556483193587344</v>
      </c>
      <c r="BM280" s="63">
        <f t="shared" si="304"/>
        <v>64.200620295920231</v>
      </c>
    </row>
    <row r="281" spans="14:65" x14ac:dyDescent="0.3">
      <c r="N281" s="11">
        <v>63</v>
      </c>
      <c r="O281" s="52">
        <f t="shared" si="254"/>
        <v>4265.7951880159299</v>
      </c>
      <c r="P281" s="50" t="str">
        <f t="shared" si="257"/>
        <v>23.3035714285714</v>
      </c>
      <c r="Q281" s="18" t="str">
        <f t="shared" si="258"/>
        <v>1+14.3586330261316i</v>
      </c>
      <c r="R281" s="18">
        <f t="shared" si="269"/>
        <v>14.393413159466975</v>
      </c>
      <c r="S281" s="18">
        <f t="shared" si="270"/>
        <v>1.5012640878214178</v>
      </c>
      <c r="T281" s="18" t="str">
        <f t="shared" si="259"/>
        <v>1+0.0268027816487791i</v>
      </c>
      <c r="U281" s="18">
        <f t="shared" si="271"/>
        <v>1.0003591300648542</v>
      </c>
      <c r="V281" s="18">
        <f t="shared" si="272"/>
        <v>2.6796366138419667E-2</v>
      </c>
      <c r="W281" s="32" t="str">
        <f t="shared" si="260"/>
        <v>1-0.0655179106970156i</v>
      </c>
      <c r="X281" s="18">
        <f t="shared" si="273"/>
        <v>1.0021439999431729</v>
      </c>
      <c r="Y281" s="18">
        <f t="shared" si="274"/>
        <v>-6.542440409009824E-2</v>
      </c>
      <c r="Z281" s="32" t="str">
        <f t="shared" si="261"/>
        <v>0.999927211965656+0.0321559672135815i</v>
      </c>
      <c r="AA281" s="18">
        <f t="shared" si="275"/>
        <v>1.0004441191075346</v>
      </c>
      <c r="AB281" s="18">
        <f t="shared" si="276"/>
        <v>3.2147229249764486E-2</v>
      </c>
      <c r="AC281" s="68" t="str">
        <f t="shared" si="277"/>
        <v>-0.00201666057114518-1.62237629614218i</v>
      </c>
      <c r="AD281" s="66">
        <f t="shared" si="278"/>
        <v>4.2030385584800563</v>
      </c>
      <c r="AE281" s="63">
        <f t="shared" si="279"/>
        <v>-90.071220271277966</v>
      </c>
      <c r="AF281" s="51" t="e">
        <f t="shared" si="280"/>
        <v>#NUM!</v>
      </c>
      <c r="AG281" s="51" t="str">
        <f t="shared" si="262"/>
        <v>1-20.1020862365844i</v>
      </c>
      <c r="AH281" s="51">
        <f t="shared" si="281"/>
        <v>20.126943907684449</v>
      </c>
      <c r="AI281" s="51">
        <f t="shared" si="282"/>
        <v>-1.5210912205666638</v>
      </c>
      <c r="AJ281" s="51" t="str">
        <f t="shared" si="263"/>
        <v>1+0.0268027816487791i</v>
      </c>
      <c r="AK281" s="51">
        <f t="shared" si="283"/>
        <v>1.0003591300648542</v>
      </c>
      <c r="AL281" s="51">
        <f t="shared" si="284"/>
        <v>2.6796366138419667E-2</v>
      </c>
      <c r="AM281" s="51" t="e">
        <f t="shared" si="264"/>
        <v>#NUM!</v>
      </c>
      <c r="AN281" s="51" t="e">
        <f t="shared" si="285"/>
        <v>#NUM!</v>
      </c>
      <c r="AO281" s="51" t="e">
        <f t="shared" si="286"/>
        <v>#NUM!</v>
      </c>
      <c r="AP281" s="60" t="e">
        <f t="shared" si="287"/>
        <v>#NUM!</v>
      </c>
      <c r="AQ281" s="51" t="e">
        <f t="shared" si="288"/>
        <v>#NUM!</v>
      </c>
      <c r="AR281" s="63" t="e">
        <f t="shared" si="289"/>
        <v>#NUM!</v>
      </c>
      <c r="AS281" s="32" t="str">
        <f t="shared" si="265"/>
        <v>-0.000170731707317073</v>
      </c>
      <c r="AT281" s="32" t="str">
        <f t="shared" si="266"/>
        <v>0.0010185057026536i</v>
      </c>
      <c r="AU281" s="32">
        <f t="shared" si="290"/>
        <v>1.0185057026536001E-3</v>
      </c>
      <c r="AV281" s="32">
        <f t="shared" si="291"/>
        <v>1.5707963267948966</v>
      </c>
      <c r="AW281" s="32" t="str">
        <f t="shared" si="267"/>
        <v>1+0.216848610265806i</v>
      </c>
      <c r="AX281" s="32">
        <f t="shared" si="292"/>
        <v>1.0232415744946115</v>
      </c>
      <c r="AY281" s="32">
        <f t="shared" si="293"/>
        <v>0.21354242094945061</v>
      </c>
      <c r="AZ281" s="32" t="str">
        <f t="shared" si="268"/>
        <v>1+4.12012359505032i</v>
      </c>
      <c r="BA281" s="32">
        <f t="shared" si="294"/>
        <v>4.2397427325830011</v>
      </c>
      <c r="BB281" s="32">
        <f t="shared" si="295"/>
        <v>1.3326894203612178</v>
      </c>
      <c r="BC281" s="60" t="str">
        <f t="shared" si="296"/>
        <v>-0.624918687608951+0.303142352651919i</v>
      </c>
      <c r="BD281" s="51">
        <f t="shared" si="297"/>
        <v>-3.1657590910795053</v>
      </c>
      <c r="BE281" s="63">
        <f t="shared" si="298"/>
        <v>154.12239972102427</v>
      </c>
      <c r="BF281" s="60" t="str">
        <f t="shared" si="299"/>
        <v>0.49307121617672+1.013241930563i</v>
      </c>
      <c r="BG281" s="66">
        <f t="shared" si="300"/>
        <v>1.0372794674005199</v>
      </c>
      <c r="BH281" s="63">
        <f t="shared" si="301"/>
        <v>64.051179449746172</v>
      </c>
      <c r="BI281" s="60" t="e">
        <f t="shared" si="255"/>
        <v>#NUM!</v>
      </c>
      <c r="BJ281" s="66" t="e">
        <f t="shared" si="302"/>
        <v>#NUM!</v>
      </c>
      <c r="BK281" s="63" t="e">
        <f t="shared" si="256"/>
        <v>#NUM!</v>
      </c>
      <c r="BL281" s="51">
        <f t="shared" si="303"/>
        <v>1.0372794674005199</v>
      </c>
      <c r="BM281" s="63">
        <f t="shared" si="304"/>
        <v>64.051179449746172</v>
      </c>
    </row>
    <row r="282" spans="14:65" x14ac:dyDescent="0.3">
      <c r="N282" s="11">
        <v>64</v>
      </c>
      <c r="O282" s="52">
        <f t="shared" si="254"/>
        <v>4365.1583224016631</v>
      </c>
      <c r="P282" s="50" t="str">
        <f t="shared" si="257"/>
        <v>23.3035714285714</v>
      </c>
      <c r="Q282" s="18" t="str">
        <f t="shared" si="258"/>
        <v>1+14.6930885543715i</v>
      </c>
      <c r="R282" s="18">
        <f t="shared" si="269"/>
        <v>14.727078843633681</v>
      </c>
      <c r="S282" s="18">
        <f t="shared" si="270"/>
        <v>1.5028419103591184</v>
      </c>
      <c r="T282" s="18" t="str">
        <f t="shared" si="259"/>
        <v>1+0.0274270986348268i</v>
      </c>
      <c r="U282" s="18">
        <f t="shared" si="271"/>
        <v>1.0003760521621479</v>
      </c>
      <c r="V282" s="18">
        <f t="shared" si="272"/>
        <v>2.7420224431182551E-2</v>
      </c>
      <c r="W282" s="32" t="str">
        <f t="shared" si="260"/>
        <v>1-0.0670440188851322i</v>
      </c>
      <c r="X282" s="18">
        <f t="shared" si="273"/>
        <v>1.0022449303779342</v>
      </c>
      <c r="Y282" s="18">
        <f t="shared" si="274"/>
        <v>-6.6943836867613363E-2</v>
      </c>
      <c r="Z282" s="32" t="str">
        <f t="shared" si="261"/>
        <v>0.999923781571281+0.0329049759096676i</v>
      </c>
      <c r="AA282" s="18">
        <f t="shared" si="275"/>
        <v>1.0004650450622583</v>
      </c>
      <c r="AB282" s="18">
        <f t="shared" si="276"/>
        <v>3.2895613246068982E-2</v>
      </c>
      <c r="AC282" s="68" t="str">
        <f t="shared" si="277"/>
        <v>-0.00708015188036058-1.58575751898395i</v>
      </c>
      <c r="AD282" s="66">
        <f t="shared" si="278"/>
        <v>4.0048221610764871</v>
      </c>
      <c r="AE282" s="63">
        <f t="shared" si="279"/>
        <v>-90.255814726168126</v>
      </c>
      <c r="AF282" s="51" t="e">
        <f t="shared" si="280"/>
        <v>#NUM!</v>
      </c>
      <c r="AG282" s="51" t="str">
        <f t="shared" si="262"/>
        <v>1-20.5703239761202i</v>
      </c>
      <c r="AH282" s="51">
        <f t="shared" si="281"/>
        <v>20.594616492728036</v>
      </c>
      <c r="AI282" s="51">
        <f t="shared" si="282"/>
        <v>-1.5222208472996999</v>
      </c>
      <c r="AJ282" s="51" t="str">
        <f t="shared" si="263"/>
        <v>1+0.0274270986348268i</v>
      </c>
      <c r="AK282" s="51">
        <f t="shared" si="283"/>
        <v>1.0003760521621479</v>
      </c>
      <c r="AL282" s="51">
        <f t="shared" si="284"/>
        <v>2.7420224431182551E-2</v>
      </c>
      <c r="AM282" s="51" t="e">
        <f t="shared" si="264"/>
        <v>#NUM!</v>
      </c>
      <c r="AN282" s="51" t="e">
        <f t="shared" si="285"/>
        <v>#NUM!</v>
      </c>
      <c r="AO282" s="51" t="e">
        <f t="shared" si="286"/>
        <v>#NUM!</v>
      </c>
      <c r="AP282" s="60" t="e">
        <f t="shared" si="287"/>
        <v>#NUM!</v>
      </c>
      <c r="AQ282" s="51" t="e">
        <f t="shared" si="288"/>
        <v>#NUM!</v>
      </c>
      <c r="AR282" s="63" t="e">
        <f t="shared" si="289"/>
        <v>#NUM!</v>
      </c>
      <c r="AS282" s="32" t="str">
        <f t="shared" si="265"/>
        <v>-0.000170731707317073</v>
      </c>
      <c r="AT282" s="32" t="str">
        <f t="shared" si="266"/>
        <v>0.00104222974812342i</v>
      </c>
      <c r="AU282" s="32">
        <f t="shared" si="290"/>
        <v>1.04222974812342E-3</v>
      </c>
      <c r="AV282" s="32">
        <f t="shared" si="291"/>
        <v>1.5707963267948966</v>
      </c>
      <c r="AW282" s="32" t="str">
        <f t="shared" si="267"/>
        <v>1+0.22189966327082i</v>
      </c>
      <c r="AX282" s="32">
        <f t="shared" si="292"/>
        <v>1.0243239041239365</v>
      </c>
      <c r="AY282" s="32">
        <f t="shared" si="293"/>
        <v>0.21836154517949685</v>
      </c>
      <c r="AZ282" s="32" t="str">
        <f t="shared" si="268"/>
        <v>1+4.21609360214558i</v>
      </c>
      <c r="BA282" s="32">
        <f t="shared" si="294"/>
        <v>4.3330641885452028</v>
      </c>
      <c r="BB282" s="32">
        <f t="shared" si="295"/>
        <v>1.3379134168365547</v>
      </c>
      <c r="BC282" s="60" t="str">
        <f t="shared" si="296"/>
        <v>-0.623598771762008+0.302190245554248i</v>
      </c>
      <c r="BD282" s="51">
        <f t="shared" si="297"/>
        <v>-3.1858293370181996</v>
      </c>
      <c r="BE282" s="63">
        <f t="shared" si="298"/>
        <v>154.14559719192135</v>
      </c>
      <c r="BF282" s="60" t="str">
        <f t="shared" si="299"/>
        <v>0.483615628067736+0.986736888315473i</v>
      </c>
      <c r="BG282" s="66">
        <f t="shared" si="300"/>
        <v>0.81899282405829055</v>
      </c>
      <c r="BH282" s="63">
        <f t="shared" si="301"/>
        <v>63.88978246575325</v>
      </c>
      <c r="BI282" s="60" t="e">
        <f t="shared" si="255"/>
        <v>#NUM!</v>
      </c>
      <c r="BJ282" s="66" t="e">
        <f t="shared" si="302"/>
        <v>#NUM!</v>
      </c>
      <c r="BK282" s="63" t="e">
        <f t="shared" si="256"/>
        <v>#NUM!</v>
      </c>
      <c r="BL282" s="51">
        <f t="shared" si="303"/>
        <v>0.81899282405829055</v>
      </c>
      <c r="BM282" s="63">
        <f t="shared" si="304"/>
        <v>63.88978246575325</v>
      </c>
    </row>
    <row r="283" spans="14:65" x14ac:dyDescent="0.3">
      <c r="N283" s="11">
        <v>65</v>
      </c>
      <c r="O283" s="52">
        <f t="shared" si="254"/>
        <v>4466.8359215096343</v>
      </c>
      <c r="P283" s="50" t="str">
        <f t="shared" si="257"/>
        <v>23.3035714285714</v>
      </c>
      <c r="Q283" s="18" t="str">
        <f t="shared" si="258"/>
        <v>1+15.0353345526489i</v>
      </c>
      <c r="R283" s="18">
        <f t="shared" si="269"/>
        <v>15.068552853876772</v>
      </c>
      <c r="S283" s="18">
        <f t="shared" si="270"/>
        <v>1.5043841447853266</v>
      </c>
      <c r="T283" s="18" t="str">
        <f t="shared" si="259"/>
        <v>1+0.0280659578316113i</v>
      </c>
      <c r="U283" s="18">
        <f t="shared" si="271"/>
        <v>1.000393771466519</v>
      </c>
      <c r="V283" s="18">
        <f t="shared" si="272"/>
        <v>2.8058592146278198E-2</v>
      </c>
      <c r="W283" s="32" t="str">
        <f t="shared" si="260"/>
        <v>1-0.0686056746994943i</v>
      </c>
      <c r="X283" s="18">
        <f t="shared" si="273"/>
        <v>1.0023506066247343</v>
      </c>
      <c r="Y283" s="18">
        <f t="shared" si="274"/>
        <v>-6.8498341325133508E-2</v>
      </c>
      <c r="Z283" s="32" t="str">
        <f t="shared" si="261"/>
        <v>0.999920189507401+0.0336714312595299i</v>
      </c>
      <c r="AA283" s="18">
        <f t="shared" si="275"/>
        <v>1.0004869567703429</v>
      </c>
      <c r="AB283" s="18">
        <f t="shared" si="276"/>
        <v>3.3661399246508676E-2</v>
      </c>
      <c r="AC283" s="68" t="str">
        <f t="shared" si="277"/>
        <v>-0.0119177378755138-1.54994863684253i</v>
      </c>
      <c r="AD283" s="66">
        <f t="shared" si="278"/>
        <v>3.8066028881028902</v>
      </c>
      <c r="AE283" s="63">
        <f t="shared" si="279"/>
        <v>-90.440545324442823</v>
      </c>
      <c r="AF283" s="51" t="e">
        <f t="shared" si="280"/>
        <v>#NUM!</v>
      </c>
      <c r="AG283" s="51" t="str">
        <f t="shared" si="262"/>
        <v>1-21.0494683737085i</v>
      </c>
      <c r="AH283" s="51">
        <f t="shared" si="281"/>
        <v>21.073208555313887</v>
      </c>
      <c r="AI283" s="51">
        <f t="shared" si="282"/>
        <v>-1.5233248804867843</v>
      </c>
      <c r="AJ283" s="51" t="str">
        <f t="shared" si="263"/>
        <v>1+0.0280659578316113i</v>
      </c>
      <c r="AK283" s="51">
        <f t="shared" si="283"/>
        <v>1.000393771466519</v>
      </c>
      <c r="AL283" s="51">
        <f t="shared" si="284"/>
        <v>2.8058592146278198E-2</v>
      </c>
      <c r="AM283" s="51" t="e">
        <f t="shared" si="264"/>
        <v>#NUM!</v>
      </c>
      <c r="AN283" s="51" t="e">
        <f t="shared" si="285"/>
        <v>#NUM!</v>
      </c>
      <c r="AO283" s="51" t="e">
        <f t="shared" si="286"/>
        <v>#NUM!</v>
      </c>
      <c r="AP283" s="60" t="e">
        <f t="shared" si="287"/>
        <v>#NUM!</v>
      </c>
      <c r="AQ283" s="51" t="e">
        <f t="shared" si="288"/>
        <v>#NUM!</v>
      </c>
      <c r="AR283" s="63" t="e">
        <f t="shared" si="289"/>
        <v>#NUM!</v>
      </c>
      <c r="AS283" s="32" t="str">
        <f t="shared" si="265"/>
        <v>-0.000170731707317073</v>
      </c>
      <c r="AT283" s="32" t="str">
        <f t="shared" si="266"/>
        <v>0.00106650639760123i</v>
      </c>
      <c r="AU283" s="32">
        <f t="shared" si="290"/>
        <v>1.06650639760123E-3</v>
      </c>
      <c r="AV283" s="32">
        <f t="shared" si="291"/>
        <v>1.5707963267948966</v>
      </c>
      <c r="AW283" s="32" t="str">
        <f t="shared" si="267"/>
        <v>1+0.227068370414489i</v>
      </c>
      <c r="AX283" s="32">
        <f t="shared" si="292"/>
        <v>1.0254560179952583</v>
      </c>
      <c r="AY283" s="32">
        <f t="shared" si="293"/>
        <v>0.22328227287639574</v>
      </c>
      <c r="AZ283" s="32" t="str">
        <f t="shared" si="268"/>
        <v>1+4.31429903787529i</v>
      </c>
      <c r="BA283" s="32">
        <f t="shared" si="294"/>
        <v>4.4286765729969098</v>
      </c>
      <c r="BB283" s="32">
        <f t="shared" si="295"/>
        <v>1.3430310403744312</v>
      </c>
      <c r="BC283" s="60" t="str">
        <f t="shared" si="296"/>
        <v>-0.622222613057863+0.301372103527426i</v>
      </c>
      <c r="BD283" s="51">
        <f t="shared" si="297"/>
        <v>-3.205847099357169</v>
      </c>
      <c r="BE283" s="63">
        <f t="shared" si="298"/>
        <v>154.15687849261309</v>
      </c>
      <c r="BF283" s="60" t="str">
        <f t="shared" si="299"/>
        <v>0.474526767047341+0.9608214171888i</v>
      </c>
      <c r="BG283" s="66">
        <f t="shared" si="300"/>
        <v>0.60075578874572311</v>
      </c>
      <c r="BH283" s="63">
        <f t="shared" si="301"/>
        <v>63.716333168170259</v>
      </c>
      <c r="BI283" s="60" t="e">
        <f t="shared" si="255"/>
        <v>#NUM!</v>
      </c>
      <c r="BJ283" s="66" t="e">
        <f t="shared" si="302"/>
        <v>#NUM!</v>
      </c>
      <c r="BK283" s="63" t="e">
        <f t="shared" si="256"/>
        <v>#NUM!</v>
      </c>
      <c r="BL283" s="51">
        <f t="shared" si="303"/>
        <v>0.60075578874572311</v>
      </c>
      <c r="BM283" s="63">
        <f t="shared" si="304"/>
        <v>63.716333168170259</v>
      </c>
    </row>
    <row r="284" spans="14:65" x14ac:dyDescent="0.3">
      <c r="N284" s="11">
        <v>66</v>
      </c>
      <c r="O284" s="52">
        <f t="shared" ref="O284:O318" si="305">10^(3+(N284/100))</f>
        <v>4570.8818961487532</v>
      </c>
      <c r="P284" s="50" t="str">
        <f t="shared" si="257"/>
        <v>23.3035714285714</v>
      </c>
      <c r="Q284" s="18" t="str">
        <f t="shared" si="258"/>
        <v>1+15.3855524843223i</v>
      </c>
      <c r="R284" s="18">
        <f t="shared" si="269"/>
        <v>15.418016255272144</v>
      </c>
      <c r="S284" s="18">
        <f t="shared" si="270"/>
        <v>1.5058915794511629</v>
      </c>
      <c r="T284" s="18" t="str">
        <f t="shared" si="259"/>
        <v>1+0.028719697970735i</v>
      </c>
      <c r="U284" s="18">
        <f t="shared" si="271"/>
        <v>1.000412325519598</v>
      </c>
      <c r="V284" s="18">
        <f t="shared" si="272"/>
        <v>2.8711805672380651E-2</v>
      </c>
      <c r="W284" s="32" t="str">
        <f t="shared" si="260"/>
        <v>1-0.0702037061506856i</v>
      </c>
      <c r="X284" s="18">
        <f t="shared" si="273"/>
        <v>1.0024612512996658</v>
      </c>
      <c r="Y284" s="18">
        <f t="shared" si="274"/>
        <v>-7.0088711613114529E-2</v>
      </c>
      <c r="Z284" s="32" t="str">
        <f t="shared" si="261"/>
        <v>0.999916428154766+0.03445573964794i</v>
      </c>
      <c r="AA284" s="18">
        <f t="shared" si="275"/>
        <v>1.0005099006449021</v>
      </c>
      <c r="AB284" s="18">
        <f t="shared" si="276"/>
        <v>3.4444990446012964E-2</v>
      </c>
      <c r="AC284" s="68" t="str">
        <f t="shared" si="277"/>
        <v>-0.0165394032441518-1.51493270775793i</v>
      </c>
      <c r="AD284" s="66">
        <f t="shared" si="278"/>
        <v>3.608384464684967</v>
      </c>
      <c r="AE284" s="63">
        <f t="shared" si="279"/>
        <v>-90.625506564479949</v>
      </c>
      <c r="AF284" s="51" t="e">
        <f t="shared" si="280"/>
        <v>#NUM!</v>
      </c>
      <c r="AG284" s="51" t="str">
        <f t="shared" si="262"/>
        <v>1-21.5397734780513i</v>
      </c>
      <c r="AH284" s="51">
        <f t="shared" si="281"/>
        <v>21.562973855332711</v>
      </c>
      <c r="AI284" s="51">
        <f t="shared" si="282"/>
        <v>-1.5244038947292538</v>
      </c>
      <c r="AJ284" s="51" t="str">
        <f t="shared" si="263"/>
        <v>1+0.028719697970735i</v>
      </c>
      <c r="AK284" s="51">
        <f t="shared" si="283"/>
        <v>1.000412325519598</v>
      </c>
      <c r="AL284" s="51">
        <f t="shared" si="284"/>
        <v>2.8711805672380651E-2</v>
      </c>
      <c r="AM284" s="51" t="e">
        <f t="shared" si="264"/>
        <v>#NUM!</v>
      </c>
      <c r="AN284" s="51" t="e">
        <f t="shared" si="285"/>
        <v>#NUM!</v>
      </c>
      <c r="AO284" s="51" t="e">
        <f t="shared" si="286"/>
        <v>#NUM!</v>
      </c>
      <c r="AP284" s="60" t="e">
        <f t="shared" si="287"/>
        <v>#NUM!</v>
      </c>
      <c r="AQ284" s="51" t="e">
        <f t="shared" si="288"/>
        <v>#NUM!</v>
      </c>
      <c r="AR284" s="63" t="e">
        <f t="shared" si="289"/>
        <v>#NUM!</v>
      </c>
      <c r="AS284" s="32" t="str">
        <f t="shared" si="265"/>
        <v>-0.000170731707317073</v>
      </c>
      <c r="AT284" s="32" t="str">
        <f t="shared" si="266"/>
        <v>0.00109134852288793i</v>
      </c>
      <c r="AU284" s="32">
        <f t="shared" si="290"/>
        <v>1.09134852288793E-3</v>
      </c>
      <c r="AV284" s="32">
        <f t="shared" si="291"/>
        <v>1.5707963267948966</v>
      </c>
      <c r="AW284" s="32" t="str">
        <f t="shared" si="267"/>
        <v>1+0.232357472213757i</v>
      </c>
      <c r="AX284" s="32">
        <f t="shared" si="292"/>
        <v>1.0266401486857832</v>
      </c>
      <c r="AY284" s="32">
        <f t="shared" si="293"/>
        <v>0.22830625945626679</v>
      </c>
      <c r="AZ284" s="32" t="str">
        <f t="shared" si="268"/>
        <v>1+4.41479197206139i</v>
      </c>
      <c r="BA284" s="32">
        <f t="shared" si="294"/>
        <v>4.5266309940813256</v>
      </c>
      <c r="BB284" s="32">
        <f t="shared" si="295"/>
        <v>1.3480439316837247</v>
      </c>
      <c r="BC284" s="60" t="str">
        <f t="shared" si="296"/>
        <v>-0.620788092922397+0.300685800659566i</v>
      </c>
      <c r="BD284" s="51">
        <f t="shared" si="297"/>
        <v>-3.225848662015522</v>
      </c>
      <c r="BE284" s="63">
        <f t="shared" si="298"/>
        <v>154.15624278043646</v>
      </c>
      <c r="BF284" s="60" t="str">
        <f t="shared" si="299"/>
        <v>0.465786218775569+0.935479022847909i</v>
      </c>
      <c r="BG284" s="66">
        <f t="shared" si="300"/>
        <v>0.38253580266944442</v>
      </c>
      <c r="BH284" s="63">
        <f t="shared" si="301"/>
        <v>63.530736215956509</v>
      </c>
      <c r="BI284" s="60" t="e">
        <f t="shared" si="255"/>
        <v>#NUM!</v>
      </c>
      <c r="BJ284" s="66" t="e">
        <f t="shared" si="302"/>
        <v>#NUM!</v>
      </c>
      <c r="BK284" s="63" t="e">
        <f t="shared" si="256"/>
        <v>#NUM!</v>
      </c>
      <c r="BL284" s="51">
        <f t="shared" si="303"/>
        <v>0.38253580266944442</v>
      </c>
      <c r="BM284" s="63">
        <f t="shared" si="304"/>
        <v>63.530736215956509</v>
      </c>
    </row>
    <row r="285" spans="14:65" x14ac:dyDescent="0.3">
      <c r="N285" s="11">
        <v>67</v>
      </c>
      <c r="O285" s="52">
        <f t="shared" si="305"/>
        <v>4677.3514128719844</v>
      </c>
      <c r="P285" s="50" t="str">
        <f t="shared" si="257"/>
        <v>23.3035714285714</v>
      </c>
      <c r="Q285" s="18" t="str">
        <f t="shared" si="258"/>
        <v>1+15.7439280395747i</v>
      </c>
      <c r="R285" s="18">
        <f t="shared" si="269"/>
        <v>15.775654348245162</v>
      </c>
      <c r="S285" s="18">
        <f t="shared" si="270"/>
        <v>1.5073649861995437</v>
      </c>
      <c r="T285" s="18" t="str">
        <f t="shared" si="259"/>
        <v>1+0.0293886656738729i</v>
      </c>
      <c r="U285" s="18">
        <f t="shared" si="271"/>
        <v>1.0004317536294471</v>
      </c>
      <c r="V285" s="18">
        <f t="shared" si="272"/>
        <v>2.9380209120924962E-2</v>
      </c>
      <c r="W285" s="32" t="str">
        <f t="shared" si="260"/>
        <v>1-0.0718389605361338i</v>
      </c>
      <c r="X285" s="18">
        <f t="shared" si="273"/>
        <v>1.002577097409926</v>
      </c>
      <c r="Y285" s="18">
        <f t="shared" si="274"/>
        <v>-7.1715758768949672E-2</v>
      </c>
      <c r="Z285" s="32" t="str">
        <f t="shared" si="261"/>
        <v>0.999912489535042+0.0352583169255872i</v>
      </c>
      <c r="AA285" s="18">
        <f t="shared" si="275"/>
        <v>1.0005339252821919</v>
      </c>
      <c r="AB285" s="18">
        <f t="shared" si="276"/>
        <v>3.5246799277716456E-2</v>
      </c>
      <c r="AC285" s="68" t="str">
        <f t="shared" si="277"/>
        <v>-0.020954698801198-1.48069307571123i</v>
      </c>
      <c r="AD285" s="66">
        <f t="shared" si="278"/>
        <v>3.4101706174920068</v>
      </c>
      <c r="AE285" s="63">
        <f t="shared" si="279"/>
        <v>-90.810793053185705</v>
      </c>
      <c r="AF285" s="51" t="e">
        <f t="shared" si="280"/>
        <v>#NUM!</v>
      </c>
      <c r="AG285" s="51" t="str">
        <f t="shared" si="262"/>
        <v>1-22.0414992554047i</v>
      </c>
      <c r="AH285" s="51">
        <f t="shared" si="281"/>
        <v>22.064172076604322</v>
      </c>
      <c r="AI285" s="51">
        <f t="shared" si="282"/>
        <v>-1.5254584520789003</v>
      </c>
      <c r="AJ285" s="51" t="str">
        <f t="shared" si="263"/>
        <v>1+0.0293886656738729i</v>
      </c>
      <c r="AK285" s="51">
        <f t="shared" si="283"/>
        <v>1.0004317536294471</v>
      </c>
      <c r="AL285" s="51">
        <f t="shared" si="284"/>
        <v>2.9380209120924962E-2</v>
      </c>
      <c r="AM285" s="51" t="e">
        <f t="shared" si="264"/>
        <v>#NUM!</v>
      </c>
      <c r="AN285" s="51" t="e">
        <f t="shared" si="285"/>
        <v>#NUM!</v>
      </c>
      <c r="AO285" s="51" t="e">
        <f t="shared" si="286"/>
        <v>#NUM!</v>
      </c>
      <c r="AP285" s="60" t="e">
        <f t="shared" si="287"/>
        <v>#NUM!</v>
      </c>
      <c r="AQ285" s="51" t="e">
        <f t="shared" si="288"/>
        <v>#NUM!</v>
      </c>
      <c r="AR285" s="63" t="e">
        <f t="shared" si="289"/>
        <v>#NUM!</v>
      </c>
      <c r="AS285" s="32" t="str">
        <f t="shared" si="265"/>
        <v>-0.000170731707317073</v>
      </c>
      <c r="AT285" s="32" t="str">
        <f t="shared" si="266"/>
        <v>0.00111676929560717i</v>
      </c>
      <c r="AU285" s="32">
        <f t="shared" si="290"/>
        <v>1.1167692956071699E-3</v>
      </c>
      <c r="AV285" s="32">
        <f t="shared" si="291"/>
        <v>1.5707963267948966</v>
      </c>
      <c r="AW285" s="32" t="str">
        <f t="shared" si="267"/>
        <v>1+0.237769773020407i</v>
      </c>
      <c r="AX285" s="32">
        <f t="shared" si="292"/>
        <v>1.0278786236527035</v>
      </c>
      <c r="AY285" s="32">
        <f t="shared" si="293"/>
        <v>0.23343515378751281</v>
      </c>
      <c r="AZ285" s="32" t="str">
        <f t="shared" si="268"/>
        <v>1+4.51762568738774i</v>
      </c>
      <c r="BA285" s="32">
        <f t="shared" si="294"/>
        <v>4.626979776414152</v>
      </c>
      <c r="BB285" s="32">
        <f t="shared" si="295"/>
        <v>1.3529537404587779</v>
      </c>
      <c r="BC285" s="60" t="str">
        <f t="shared" si="296"/>
        <v>-0.619293038313415+0.300129180737719i</v>
      </c>
      <c r="BD285" s="51">
        <f t="shared" si="297"/>
        <v>-3.2458702941561102</v>
      </c>
      <c r="BE285" s="63">
        <f t="shared" si="298"/>
        <v>154.14369010271437</v>
      </c>
      <c r="BF285" s="60" t="str">
        <f t="shared" si="299"/>
        <v>0.457376298824761+0.910693797083034i</v>
      </c>
      <c r="BG285" s="66">
        <f t="shared" si="300"/>
        <v>0.16430032333589753</v>
      </c>
      <c r="BH285" s="63">
        <f t="shared" si="301"/>
        <v>63.33289704952869</v>
      </c>
      <c r="BI285" s="60" t="e">
        <f t="shared" si="255"/>
        <v>#NUM!</v>
      </c>
      <c r="BJ285" s="66" t="e">
        <f t="shared" si="302"/>
        <v>#NUM!</v>
      </c>
      <c r="BK285" s="63" t="e">
        <f t="shared" si="256"/>
        <v>#NUM!</v>
      </c>
      <c r="BL285" s="51">
        <f t="shared" si="303"/>
        <v>0.16430032333589753</v>
      </c>
      <c r="BM285" s="63">
        <f t="shared" si="304"/>
        <v>63.33289704952869</v>
      </c>
    </row>
    <row r="286" spans="14:65" x14ac:dyDescent="0.3">
      <c r="N286" s="11">
        <v>68</v>
      </c>
      <c r="O286" s="52">
        <f t="shared" si="305"/>
        <v>4786.3009232263848</v>
      </c>
      <c r="P286" s="50" t="str">
        <f t="shared" si="257"/>
        <v>23.3035714285714</v>
      </c>
      <c r="Q286" s="18" t="str">
        <f t="shared" si="258"/>
        <v>1+16.1106512338693i</v>
      </c>
      <c r="R286" s="18">
        <f t="shared" si="269"/>
        <v>16.141656766867968</v>
      </c>
      <c r="S286" s="18">
        <f t="shared" si="270"/>
        <v>1.5088051206465338</v>
      </c>
      <c r="T286" s="18" t="str">
        <f t="shared" si="259"/>
        <v>1+0.0300732156365561i</v>
      </c>
      <c r="U286" s="18">
        <f t="shared" si="271"/>
        <v>1.0004520969535338</v>
      </c>
      <c r="V286" s="18">
        <f t="shared" si="272"/>
        <v>3.0064154497955513E-2</v>
      </c>
      <c r="W286" s="32" t="str">
        <f t="shared" si="260"/>
        <v>1-0.0735123048893594i</v>
      </c>
      <c r="X286" s="18">
        <f t="shared" si="273"/>
        <v>1.0026983888339236</v>
      </c>
      <c r="Y286" s="18">
        <f t="shared" si="274"/>
        <v>-7.3380310997210929E-2</v>
      </c>
      <c r="Z286" s="32" t="str">
        <f t="shared" si="261"/>
        <v>0.999908365293889+0.0360795886295673i</v>
      </c>
      <c r="AA286" s="18">
        <f t="shared" si="275"/>
        <v>1.0005590815640903</v>
      </c>
      <c r="AB286" s="18">
        <f t="shared" si="276"/>
        <v>3.6067247617213333E-2</v>
      </c>
      <c r="AC286" s="68" t="str">
        <f t="shared" si="277"/>
        <v>-0.0251727596512861-1.44721337056236i</v>
      </c>
      <c r="AD286" s="66">
        <f t="shared" si="278"/>
        <v>3.2119650822044554</v>
      </c>
      <c r="AE286" s="63">
        <f t="shared" si="279"/>
        <v>-90.996499540028466</v>
      </c>
      <c r="AF286" s="51" t="e">
        <f t="shared" si="280"/>
        <v>#NUM!</v>
      </c>
      <c r="AG286" s="51" t="str">
        <f t="shared" si="262"/>
        <v>1-22.5549117274171i</v>
      </c>
      <c r="AH286" s="51">
        <f t="shared" si="281"/>
        <v>22.577068964583898</v>
      </c>
      <c r="AI286" s="51">
        <f t="shared" si="282"/>
        <v>-1.5264891022885401</v>
      </c>
      <c r="AJ286" s="51" t="str">
        <f t="shared" si="263"/>
        <v>1+0.0300732156365561i</v>
      </c>
      <c r="AK286" s="51">
        <f t="shared" si="283"/>
        <v>1.0004520969535338</v>
      </c>
      <c r="AL286" s="51">
        <f t="shared" si="284"/>
        <v>3.0064154497955513E-2</v>
      </c>
      <c r="AM286" s="51" t="e">
        <f t="shared" si="264"/>
        <v>#NUM!</v>
      </c>
      <c r="AN286" s="51" t="e">
        <f t="shared" si="285"/>
        <v>#NUM!</v>
      </c>
      <c r="AO286" s="51" t="e">
        <f t="shared" si="286"/>
        <v>#NUM!</v>
      </c>
      <c r="AP286" s="60" t="e">
        <f t="shared" si="287"/>
        <v>#NUM!</v>
      </c>
      <c r="AQ286" s="51" t="e">
        <f t="shared" si="288"/>
        <v>#NUM!</v>
      </c>
      <c r="AR286" s="63" t="e">
        <f t="shared" si="289"/>
        <v>#NUM!</v>
      </c>
      <c r="AS286" s="32" t="str">
        <f t="shared" si="265"/>
        <v>-0.000170731707317073</v>
      </c>
      <c r="AT286" s="32" t="str">
        <f t="shared" si="266"/>
        <v>0.00114278219418913i</v>
      </c>
      <c r="AU286" s="32">
        <f t="shared" si="290"/>
        <v>1.14278219418913E-3</v>
      </c>
      <c r="AV286" s="32">
        <f t="shared" si="291"/>
        <v>1.5707963267948966</v>
      </c>
      <c r="AW286" s="32" t="str">
        <f t="shared" si="267"/>
        <v>1+0.243308142507968i</v>
      </c>
      <c r="AX286" s="32">
        <f t="shared" si="292"/>
        <v>1.029173868795102</v>
      </c>
      <c r="AY286" s="32">
        <f t="shared" si="293"/>
        <v>0.23867059545240754</v>
      </c>
      <c r="AZ286" s="32" t="str">
        <f t="shared" si="268"/>
        <v>1+4.62285470765141i</v>
      </c>
      <c r="BA286" s="32">
        <f t="shared" si="294"/>
        <v>4.7297764902852224</v>
      </c>
      <c r="BB286" s="32">
        <f t="shared" si="295"/>
        <v>1.3577621226599108</v>
      </c>
      <c r="BC286" s="60" t="str">
        <f t="shared" si="296"/>
        <v>-0.617735222733344+0.299700051174786i</v>
      </c>
      <c r="BD286" s="51">
        <f t="shared" si="297"/>
        <v>-3.2659482832209847</v>
      </c>
      <c r="BE286" s="63">
        <f t="shared" si="298"/>
        <v>154.11922139783974</v>
      </c>
      <c r="BF286" s="60" t="str">
        <f t="shared" si="299"/>
        <v>0.449280021508374+0.886450396451312i</v>
      </c>
      <c r="BG286" s="66">
        <f t="shared" si="300"/>
        <v>-5.3983201016529606E-2</v>
      </c>
      <c r="BH286" s="63">
        <f t="shared" si="301"/>
        <v>63.122721857811271</v>
      </c>
      <c r="BI286" s="60" t="e">
        <f t="shared" si="255"/>
        <v>#NUM!</v>
      </c>
      <c r="BJ286" s="66" t="e">
        <f t="shared" si="302"/>
        <v>#NUM!</v>
      </c>
      <c r="BK286" s="63" t="e">
        <f t="shared" si="256"/>
        <v>#NUM!</v>
      </c>
      <c r="BL286" s="51">
        <f t="shared" si="303"/>
        <v>-5.3983201016529606E-2</v>
      </c>
      <c r="BM286" s="63">
        <f t="shared" si="304"/>
        <v>63.122721857811271</v>
      </c>
    </row>
    <row r="287" spans="14:65" x14ac:dyDescent="0.3">
      <c r="N287" s="11">
        <v>69</v>
      </c>
      <c r="O287" s="52">
        <f t="shared" si="305"/>
        <v>4897.7881936844633</v>
      </c>
      <c r="P287" s="50" t="str">
        <f t="shared" si="257"/>
        <v>23.3035714285714</v>
      </c>
      <c r="Q287" s="18" t="str">
        <f t="shared" si="258"/>
        <v>1+16.4859165086978i</v>
      </c>
      <c r="R287" s="18">
        <f t="shared" si="269"/>
        <v>16.51621757945065</v>
      </c>
      <c r="S287" s="18">
        <f t="shared" si="270"/>
        <v>1.5102127224624362</v>
      </c>
      <c r="T287" s="18" t="str">
        <f t="shared" si="259"/>
        <v>1+0.0307737108162359i</v>
      </c>
      <c r="U287" s="18">
        <f t="shared" si="271"/>
        <v>1.0004733985855903</v>
      </c>
      <c r="V287" s="18">
        <f t="shared" si="272"/>
        <v>3.0764001879405107E-2</v>
      </c>
      <c r="W287" s="32" t="str">
        <f t="shared" si="260"/>
        <v>1-0.0752246264396878i</v>
      </c>
      <c r="X287" s="18">
        <f t="shared" si="273"/>
        <v>1.0028253808230976</v>
      </c>
      <c r="Y287" s="18">
        <f t="shared" si="274"/>
        <v>-7.5083213948584013E-2</v>
      </c>
      <c r="Z287" s="32" t="str">
        <f t="shared" si="261"/>
        <v>0.999904046683239+0.0369199902090086i</v>
      </c>
      <c r="AA287" s="18">
        <f t="shared" si="275"/>
        <v>1.0005854227653681</v>
      </c>
      <c r="AB287" s="18">
        <f t="shared" si="276"/>
        <v>3.6906766990794378E-2</v>
      </c>
      <c r="AC287" s="68" t="str">
        <f t="shared" si="277"/>
        <v>-0.0292023226504103-1.41447750757676i</v>
      </c>
      <c r="AD287" s="66">
        <f t="shared" si="278"/>
        <v>3.01377161099514</v>
      </c>
      <c r="AE287" s="63">
        <f t="shared" si="279"/>
        <v>-91.182720951013991</v>
      </c>
      <c r="AF287" s="51" t="e">
        <f t="shared" si="280"/>
        <v>#NUM!</v>
      </c>
      <c r="AG287" s="51" t="str">
        <f t="shared" si="262"/>
        <v>1-23.080283112177i</v>
      </c>
      <c r="AH287" s="51">
        <f t="shared" si="281"/>
        <v>23.101936467280026</v>
      </c>
      <c r="AI287" s="51">
        <f t="shared" si="282"/>
        <v>-1.5274963830591897</v>
      </c>
      <c r="AJ287" s="51" t="str">
        <f t="shared" si="263"/>
        <v>1+0.0307737108162359i</v>
      </c>
      <c r="AK287" s="51">
        <f t="shared" si="283"/>
        <v>1.0004733985855903</v>
      </c>
      <c r="AL287" s="51">
        <f t="shared" si="284"/>
        <v>3.0764001879405107E-2</v>
      </c>
      <c r="AM287" s="51" t="e">
        <f t="shared" si="264"/>
        <v>#NUM!</v>
      </c>
      <c r="AN287" s="51" t="e">
        <f t="shared" si="285"/>
        <v>#NUM!</v>
      </c>
      <c r="AO287" s="51" t="e">
        <f t="shared" si="286"/>
        <v>#NUM!</v>
      </c>
      <c r="AP287" s="60" t="e">
        <f t="shared" si="287"/>
        <v>#NUM!</v>
      </c>
      <c r="AQ287" s="51" t="e">
        <f t="shared" si="288"/>
        <v>#NUM!</v>
      </c>
      <c r="AR287" s="63" t="e">
        <f t="shared" si="289"/>
        <v>#NUM!</v>
      </c>
      <c r="AS287" s="32" t="str">
        <f t="shared" si="265"/>
        <v>-0.000170731707317073</v>
      </c>
      <c r="AT287" s="32" t="str">
        <f t="shared" si="266"/>
        <v>0.00116940101101696i</v>
      </c>
      <c r="AU287" s="32">
        <f t="shared" si="290"/>
        <v>1.1694010110169599E-3</v>
      </c>
      <c r="AV287" s="32">
        <f t="shared" si="291"/>
        <v>1.5707963267948966</v>
      </c>
      <c r="AW287" s="32" t="str">
        <f t="shared" si="267"/>
        <v>1+0.248975517193251i</v>
      </c>
      <c r="AX287" s="32">
        <f t="shared" si="292"/>
        <v>1.0305284121079084</v>
      </c>
      <c r="AY287" s="32">
        <f t="shared" si="293"/>
        <v>0.2440142118279974</v>
      </c>
      <c r="AZ287" s="32" t="str">
        <f t="shared" si="268"/>
        <v>1+4.73053482667178i</v>
      </c>
      <c r="BA287" s="32">
        <f t="shared" si="294"/>
        <v>4.8350759814458568</v>
      </c>
      <c r="BB287" s="32">
        <f t="shared" si="295"/>
        <v>1.3624707379678382</v>
      </c>
      <c r="BC287" s="60" t="str">
        <f t="shared" si="296"/>
        <v>-0.616112367532288+0.299396176789855i</v>
      </c>
      <c r="BD287" s="51">
        <f t="shared" si="297"/>
        <v>-3.2861189678732221</v>
      </c>
      <c r="BE287" s="63">
        <f t="shared" si="298"/>
        <v>154.0828385166763</v>
      </c>
      <c r="BF287" s="60" t="str">
        <f t="shared" si="299"/>
        <v>0.441481070069311+0.862734022259371i</v>
      </c>
      <c r="BG287" s="66">
        <f t="shared" si="300"/>
        <v>-0.27234735687808348</v>
      </c>
      <c r="BH287" s="63">
        <f t="shared" si="301"/>
        <v>62.90011756566232</v>
      </c>
      <c r="BI287" s="60" t="e">
        <f t="shared" si="255"/>
        <v>#NUM!</v>
      </c>
      <c r="BJ287" s="66" t="e">
        <f t="shared" si="302"/>
        <v>#NUM!</v>
      </c>
      <c r="BK287" s="63" t="e">
        <f t="shared" si="256"/>
        <v>#NUM!</v>
      </c>
      <c r="BL287" s="51">
        <f t="shared" si="303"/>
        <v>-0.27234735687808348</v>
      </c>
      <c r="BM287" s="63">
        <f t="shared" si="304"/>
        <v>62.90011756566232</v>
      </c>
    </row>
    <row r="288" spans="14:65" x14ac:dyDescent="0.3">
      <c r="N288" s="11">
        <v>70</v>
      </c>
      <c r="O288" s="52">
        <f t="shared" si="305"/>
        <v>5011.8723362727324</v>
      </c>
      <c r="P288" s="50" t="str">
        <f t="shared" si="257"/>
        <v>23.3035714285714</v>
      </c>
      <c r="Q288" s="18" t="str">
        <f t="shared" si="258"/>
        <v>1+16.8699228346761i</v>
      </c>
      <c r="R288" s="18">
        <f t="shared" si="269"/>
        <v>16.899535391481216</v>
      </c>
      <c r="S288" s="18">
        <f t="shared" si="270"/>
        <v>1.5115885156522337</v>
      </c>
      <c r="T288" s="18" t="str">
        <f t="shared" si="259"/>
        <v>1+0.0314905226247287i</v>
      </c>
      <c r="U288" s="18">
        <f t="shared" si="271"/>
        <v>1.0004957036465367</v>
      </c>
      <c r="V288" s="18">
        <f t="shared" si="272"/>
        <v>3.1480119589844653E-2</v>
      </c>
      <c r="W288" s="32" t="str">
        <f t="shared" si="260"/>
        <v>1-0.0769768330826702i</v>
      </c>
      <c r="X288" s="18">
        <f t="shared" si="273"/>
        <v>1.0029583405263836</v>
      </c>
      <c r="Y288" s="18">
        <f t="shared" si="274"/>
        <v>-7.6825330996938779E-2</v>
      </c>
      <c r="Z288" s="32" t="str">
        <f t="shared" si="261"/>
        <v>0.99989952454274+0.0377799672559526i</v>
      </c>
      <c r="AA288" s="18">
        <f t="shared" si="275"/>
        <v>1.0006130046659689</v>
      </c>
      <c r="AB288" s="18">
        <f t="shared" si="276"/>
        <v>3.7765798787701803E-2</v>
      </c>
      <c r="AC288" s="68" t="str">
        <f t="shared" si="277"/>
        <v>-0.0330517431884377-1.3824696865758i</v>
      </c>
      <c r="AD288" s="66">
        <f t="shared" si="278"/>
        <v>2.81559398003618</v>
      </c>
      <c r="AE288" s="63">
        <f t="shared" si="279"/>
        <v>-91.369552422548324</v>
      </c>
      <c r="AF288" s="51" t="e">
        <f t="shared" si="280"/>
        <v>#NUM!</v>
      </c>
      <c r="AG288" s="51" t="str">
        <f t="shared" si="262"/>
        <v>1-23.6178919685466i</v>
      </c>
      <c r="AH288" s="51">
        <f t="shared" si="281"/>
        <v>23.639052879460674</v>
      </c>
      <c r="AI288" s="51">
        <f t="shared" si="282"/>
        <v>-1.528480820283777</v>
      </c>
      <c r="AJ288" s="51" t="str">
        <f t="shared" si="263"/>
        <v>1+0.0314905226247287i</v>
      </c>
      <c r="AK288" s="51">
        <f t="shared" si="283"/>
        <v>1.0004957036465367</v>
      </c>
      <c r="AL288" s="51">
        <f t="shared" si="284"/>
        <v>3.1480119589844653E-2</v>
      </c>
      <c r="AM288" s="51" t="e">
        <f t="shared" si="264"/>
        <v>#NUM!</v>
      </c>
      <c r="AN288" s="51" t="e">
        <f t="shared" si="285"/>
        <v>#NUM!</v>
      </c>
      <c r="AO288" s="51" t="e">
        <f t="shared" si="286"/>
        <v>#NUM!</v>
      </c>
      <c r="AP288" s="60" t="e">
        <f t="shared" si="287"/>
        <v>#NUM!</v>
      </c>
      <c r="AQ288" s="51" t="e">
        <f t="shared" si="288"/>
        <v>#NUM!</v>
      </c>
      <c r="AR288" s="63" t="e">
        <f t="shared" si="289"/>
        <v>#NUM!</v>
      </c>
      <c r="AS288" s="32" t="str">
        <f t="shared" si="265"/>
        <v>-0.000170731707317073</v>
      </c>
      <c r="AT288" s="32" t="str">
        <f t="shared" si="266"/>
        <v>0.00119663985973969i</v>
      </c>
      <c r="AU288" s="32">
        <f t="shared" si="290"/>
        <v>1.19663985973969E-3</v>
      </c>
      <c r="AV288" s="32">
        <f t="shared" si="291"/>
        <v>1.5707963267948966</v>
      </c>
      <c r="AW288" s="32" t="str">
        <f t="shared" si="267"/>
        <v>1+0.254774901993331i</v>
      </c>
      <c r="AX288" s="32">
        <f t="shared" si="292"/>
        <v>1.0319448874265096</v>
      </c>
      <c r="AY288" s="32">
        <f t="shared" si="293"/>
        <v>0.24946761498049069</v>
      </c>
      <c r="AZ288" s="32" t="str">
        <f t="shared" si="268"/>
        <v>1+4.8407231378733i</v>
      </c>
      <c r="BA288" s="32">
        <f t="shared" si="294"/>
        <v>4.9429344015009873</v>
      </c>
      <c r="BB288" s="32">
        <f t="shared" si="295"/>
        <v>1.3670812474057106</v>
      </c>
      <c r="BC288" s="60" t="str">
        <f t="shared" si="296"/>
        <v>-0.614422143526132+0.299215273449847i</v>
      </c>
      <c r="BD288" s="51">
        <f t="shared" si="297"/>
        <v>-3.3064187706750303</v>
      </c>
      <c r="BE288" s="63">
        <f t="shared" si="298"/>
        <v>154.03454426425043</v>
      </c>
      <c r="BF288" s="60" t="str">
        <f t="shared" si="299"/>
        <v>0.433963768202017+0.83953040180968i</v>
      </c>
      <c r="BG288" s="66">
        <f t="shared" si="300"/>
        <v>-0.49082479063885631</v>
      </c>
      <c r="BH288" s="63">
        <f t="shared" si="301"/>
        <v>62.664991841702104</v>
      </c>
      <c r="BI288" s="60" t="e">
        <f t="shared" si="255"/>
        <v>#NUM!</v>
      </c>
      <c r="BJ288" s="66" t="e">
        <f t="shared" si="302"/>
        <v>#NUM!</v>
      </c>
      <c r="BK288" s="63" t="e">
        <f t="shared" si="256"/>
        <v>#NUM!</v>
      </c>
      <c r="BL288" s="51">
        <f t="shared" si="303"/>
        <v>-0.49082479063885631</v>
      </c>
      <c r="BM288" s="63">
        <f t="shared" si="304"/>
        <v>62.664991841702104</v>
      </c>
    </row>
    <row r="289" spans="14:65" x14ac:dyDescent="0.3">
      <c r="N289" s="11">
        <v>71</v>
      </c>
      <c r="O289" s="52">
        <f t="shared" si="305"/>
        <v>5128.6138399136489</v>
      </c>
      <c r="P289" s="50" t="str">
        <f t="shared" si="257"/>
        <v>23.3035714285714</v>
      </c>
      <c r="Q289" s="18" t="str">
        <f t="shared" si="258"/>
        <v>1+17.262873817041i</v>
      </c>
      <c r="R289" s="18">
        <f t="shared" si="269"/>
        <v>17.291813450968053</v>
      </c>
      <c r="S289" s="18">
        <f t="shared" si="270"/>
        <v>1.5129332088350285</v>
      </c>
      <c r="T289" s="18" t="str">
        <f t="shared" si="259"/>
        <v>1+0.0322240311251433i</v>
      </c>
      <c r="U289" s="18">
        <f t="shared" si="271"/>
        <v>1.0005190593796573</v>
      </c>
      <c r="V289" s="18">
        <f t="shared" si="272"/>
        <v>3.2212884384740591E-2</v>
      </c>
      <c r="W289" s="32" t="str">
        <f t="shared" si="260"/>
        <v>1-0.0787698538614614i</v>
      </c>
      <c r="X289" s="18">
        <f t="shared" si="273"/>
        <v>1.0030975475383019</v>
      </c>
      <c r="Y289" s="18">
        <f t="shared" si="274"/>
        <v>-7.8607543513926403E-2</v>
      </c>
      <c r="Z289" s="32" t="str">
        <f t="shared" si="261"/>
        <v>0.999894789280324+0.0386599757416125i</v>
      </c>
      <c r="AA289" s="18">
        <f t="shared" si="275"/>
        <v>1.0006418856685371</v>
      </c>
      <c r="AB289" s="18">
        <f t="shared" si="276"/>
        <v>3.8644794476437927E-2</v>
      </c>
      <c r="AC289" s="68" t="str">
        <f t="shared" si="277"/>
        <v>-0.0367290113138777-1.35117439074349i</v>
      </c>
      <c r="AD289" s="66">
        <f t="shared" si="278"/>
        <v>2.6174359970432022</v>
      </c>
      <c r="AE289" s="63">
        <f t="shared" si="279"/>
        <v>-91.557089335132716</v>
      </c>
      <c r="AF289" s="51" t="e">
        <f t="shared" si="280"/>
        <v>#NUM!</v>
      </c>
      <c r="AG289" s="51" t="str">
        <f t="shared" si="262"/>
        <v>1-24.1680233438575i</v>
      </c>
      <c r="AH289" s="51">
        <f t="shared" si="281"/>
        <v>24.188702990223373</v>
      </c>
      <c r="AI289" s="51">
        <f t="shared" si="282"/>
        <v>-1.529442928287325</v>
      </c>
      <c r="AJ289" s="51" t="str">
        <f t="shared" si="263"/>
        <v>1+0.0322240311251433i</v>
      </c>
      <c r="AK289" s="51">
        <f t="shared" si="283"/>
        <v>1.0005190593796573</v>
      </c>
      <c r="AL289" s="51">
        <f t="shared" si="284"/>
        <v>3.2212884384740591E-2</v>
      </c>
      <c r="AM289" s="51" t="e">
        <f t="shared" si="264"/>
        <v>#NUM!</v>
      </c>
      <c r="AN289" s="51" t="e">
        <f t="shared" si="285"/>
        <v>#NUM!</v>
      </c>
      <c r="AO289" s="51" t="e">
        <f t="shared" si="286"/>
        <v>#NUM!</v>
      </c>
      <c r="AP289" s="60" t="e">
        <f t="shared" si="287"/>
        <v>#NUM!</v>
      </c>
      <c r="AQ289" s="51" t="e">
        <f t="shared" si="288"/>
        <v>#NUM!</v>
      </c>
      <c r="AR289" s="63" t="e">
        <f t="shared" si="289"/>
        <v>#NUM!</v>
      </c>
      <c r="AS289" s="32" t="str">
        <f t="shared" si="265"/>
        <v>-0.000170731707317073</v>
      </c>
      <c r="AT289" s="32" t="str">
        <f t="shared" si="266"/>
        <v>0.00122451318275545i</v>
      </c>
      <c r="AU289" s="32">
        <f t="shared" si="290"/>
        <v>1.2245131827554501E-3</v>
      </c>
      <c r="AV289" s="32">
        <f t="shared" si="291"/>
        <v>1.5707963267948966</v>
      </c>
      <c r="AW289" s="32" t="str">
        <f t="shared" si="267"/>
        <v>1+0.260709371818791i</v>
      </c>
      <c r="AX289" s="32">
        <f t="shared" si="292"/>
        <v>1.0334260382601885</v>
      </c>
      <c r="AY289" s="32">
        <f t="shared" si="293"/>
        <v>0.25503239836762165</v>
      </c>
      <c r="AZ289" s="32" t="str">
        <f t="shared" si="268"/>
        <v>1+4.95347806455703i</v>
      </c>
      <c r="BA289" s="32">
        <f t="shared" si="294"/>
        <v>5.0534092389245169</v>
      </c>
      <c r="BB289" s="32">
        <f t="shared" si="295"/>
        <v>1.3715953111223091</v>
      </c>
      <c r="BC289" s="60" t="str">
        <f t="shared" si="296"/>
        <v>-0.612662172955187+0.299155001582539i</v>
      </c>
      <c r="BD289" s="51">
        <f t="shared" si="297"/>
        <v>-3.3268842303317565</v>
      </c>
      <c r="BE289" s="63">
        <f t="shared" si="298"/>
        <v>153.97434246167751</v>
      </c>
      <c r="BF289" s="60" t="str">
        <f t="shared" si="299"/>
        <v>0.426713052883211+0.816825770836579i</v>
      </c>
      <c r="BG289" s="66">
        <f t="shared" si="300"/>
        <v>-0.70944823328855722</v>
      </c>
      <c r="BH289" s="63">
        <f t="shared" si="301"/>
        <v>62.417253126544765</v>
      </c>
      <c r="BI289" s="60" t="e">
        <f t="shared" si="255"/>
        <v>#NUM!</v>
      </c>
      <c r="BJ289" s="66" t="e">
        <f t="shared" si="302"/>
        <v>#NUM!</v>
      </c>
      <c r="BK289" s="63" t="e">
        <f t="shared" si="256"/>
        <v>#NUM!</v>
      </c>
      <c r="BL289" s="51">
        <f t="shared" si="303"/>
        <v>-0.70944823328855722</v>
      </c>
      <c r="BM289" s="63">
        <f t="shared" si="304"/>
        <v>62.417253126544765</v>
      </c>
    </row>
    <row r="290" spans="14:65" x14ac:dyDescent="0.3">
      <c r="N290" s="11">
        <v>72</v>
      </c>
      <c r="O290" s="52">
        <f t="shared" si="305"/>
        <v>5248.0746024977261</v>
      </c>
      <c r="P290" s="50" t="str">
        <f t="shared" si="257"/>
        <v>23.3035714285714</v>
      </c>
      <c r="Q290" s="18" t="str">
        <f t="shared" si="258"/>
        <v>1+17.664977803605i</v>
      </c>
      <c r="R290" s="18">
        <f t="shared" si="269"/>
        <v>17.693259756242131</v>
      </c>
      <c r="S290" s="18">
        <f t="shared" si="270"/>
        <v>1.5142474955221554</v>
      </c>
      <c r="T290" s="18" t="str">
        <f t="shared" si="259"/>
        <v>1+0.0329746252333961i</v>
      </c>
      <c r="U290" s="18">
        <f t="shared" si="271"/>
        <v>1.0005435152502278</v>
      </c>
      <c r="V290" s="18">
        <f t="shared" si="272"/>
        <v>3.2962681636256215E-2</v>
      </c>
      <c r="W290" s="32" t="str">
        <f t="shared" si="260"/>
        <v>1-0.0806046394594127i</v>
      </c>
      <c r="X290" s="18">
        <f t="shared" si="273"/>
        <v>1.003243294471676</v>
      </c>
      <c r="Y290" s="18">
        <f t="shared" si="274"/>
        <v>-8.0430751140448772E-2</v>
      </c>
      <c r="Z290" s="32" t="str">
        <f t="shared" si="261"/>
        <v>0.999889830851866+0.0395604822581361i</v>
      </c>
      <c r="AA290" s="18">
        <f t="shared" si="275"/>
        <v>1.0006721269214354</v>
      </c>
      <c r="AB290" s="18">
        <f t="shared" si="276"/>
        <v>3.9544215825159899E-2</v>
      </c>
      <c r="AC290" s="68" t="str">
        <f t="shared" si="277"/>
        <v>-0.0402417672221233-1.32057638512007i</v>
      </c>
      <c r="AD290" s="66">
        <f t="shared" si="278"/>
        <v>2.4193015088698426</v>
      </c>
      <c r="AE290" s="63">
        <f t="shared" si="279"/>
        <v>-91.745427346834518</v>
      </c>
      <c r="AF290" s="51" t="e">
        <f t="shared" si="280"/>
        <v>#NUM!</v>
      </c>
      <c r="AG290" s="51" t="str">
        <f t="shared" si="262"/>
        <v>1-24.7309689250471i</v>
      </c>
      <c r="AH290" s="51">
        <f t="shared" si="281"/>
        <v>24.751178234008282</v>
      </c>
      <c r="AI290" s="51">
        <f t="shared" si="282"/>
        <v>-1.5303832100635564</v>
      </c>
      <c r="AJ290" s="51" t="str">
        <f t="shared" si="263"/>
        <v>1+0.0329746252333961i</v>
      </c>
      <c r="AK290" s="51">
        <f t="shared" si="283"/>
        <v>1.0005435152502278</v>
      </c>
      <c r="AL290" s="51">
        <f t="shared" si="284"/>
        <v>3.2962681636256215E-2</v>
      </c>
      <c r="AM290" s="51" t="e">
        <f t="shared" si="264"/>
        <v>#NUM!</v>
      </c>
      <c r="AN290" s="51" t="e">
        <f t="shared" si="285"/>
        <v>#NUM!</v>
      </c>
      <c r="AO290" s="51" t="e">
        <f t="shared" si="286"/>
        <v>#NUM!</v>
      </c>
      <c r="AP290" s="60" t="e">
        <f t="shared" si="287"/>
        <v>#NUM!</v>
      </c>
      <c r="AQ290" s="51" t="e">
        <f t="shared" si="288"/>
        <v>#NUM!</v>
      </c>
      <c r="AR290" s="63" t="e">
        <f t="shared" si="289"/>
        <v>#NUM!</v>
      </c>
      <c r="AS290" s="32" t="str">
        <f t="shared" si="265"/>
        <v>-0.000170731707317073</v>
      </c>
      <c r="AT290" s="32" t="str">
        <f t="shared" si="266"/>
        <v>0.00125303575886905i</v>
      </c>
      <c r="AU290" s="32">
        <f t="shared" si="290"/>
        <v>1.2530357588690501E-3</v>
      </c>
      <c r="AV290" s="32">
        <f t="shared" si="291"/>
        <v>1.5707963267948966</v>
      </c>
      <c r="AW290" s="32" t="str">
        <f t="shared" si="267"/>
        <v>1+0.266782073204086i</v>
      </c>
      <c r="AX290" s="32">
        <f t="shared" si="292"/>
        <v>1.0349747217121152</v>
      </c>
      <c r="AY290" s="32">
        <f t="shared" si="293"/>
        <v>0.26071013334391274</v>
      </c>
      <c r="AZ290" s="32" t="str">
        <f t="shared" si="268"/>
        <v>1+5.06885939087765i</v>
      </c>
      <c r="BA290" s="32">
        <f t="shared" si="294"/>
        <v>5.1665593507177041</v>
      </c>
      <c r="BB290" s="32">
        <f t="shared" si="295"/>
        <v>1.3760145863299029</v>
      </c>
      <c r="BC290" s="60" t="str">
        <f t="shared" si="296"/>
        <v>-0.610830031809706+0.299212959573384i</v>
      </c>
      <c r="BD290" s="51">
        <f t="shared" si="297"/>
        <v>-3.3475520333291358</v>
      </c>
      <c r="BE290" s="63">
        <f t="shared" si="298"/>
        <v>153.90223802824417</v>
      </c>
      <c r="BF290" s="60" t="str">
        <f t="shared" si="299"/>
        <v>0.419714448486865+0.794606857061044i</v>
      </c>
      <c r="BG290" s="66">
        <f t="shared" si="300"/>
        <v>-0.92825052445929979</v>
      </c>
      <c r="BH290" s="63">
        <f t="shared" si="301"/>
        <v>62.156810681409674</v>
      </c>
      <c r="BI290" s="60" t="e">
        <f t="shared" si="255"/>
        <v>#NUM!</v>
      </c>
      <c r="BJ290" s="66" t="e">
        <f t="shared" si="302"/>
        <v>#NUM!</v>
      </c>
      <c r="BK290" s="63" t="e">
        <f t="shared" si="256"/>
        <v>#NUM!</v>
      </c>
      <c r="BL290" s="51">
        <f t="shared" si="303"/>
        <v>-0.92825052445929979</v>
      </c>
      <c r="BM290" s="63">
        <f t="shared" si="304"/>
        <v>62.156810681409674</v>
      </c>
    </row>
    <row r="291" spans="14:65" x14ac:dyDescent="0.3">
      <c r="N291" s="11">
        <v>73</v>
      </c>
      <c r="O291" s="52">
        <f t="shared" si="305"/>
        <v>5370.3179637025269</v>
      </c>
      <c r="P291" s="50" t="str">
        <f t="shared" si="257"/>
        <v>23.3035714285714</v>
      </c>
      <c r="Q291" s="18" t="str">
        <f t="shared" si="258"/>
        <v>1+18.0764479952241i</v>
      </c>
      <c r="R291" s="18">
        <f t="shared" si="269"/>
        <v>18.104087166273846</v>
      </c>
      <c r="S291" s="18">
        <f t="shared" si="270"/>
        <v>1.5155320543936759</v>
      </c>
      <c r="T291" s="18" t="str">
        <f t="shared" si="259"/>
        <v>1+0.0337427029244183i</v>
      </c>
      <c r="U291" s="18">
        <f t="shared" si="271"/>
        <v>1.0005691230497999</v>
      </c>
      <c r="V291" s="18">
        <f t="shared" si="272"/>
        <v>3.3729905522627217E-2</v>
      </c>
      <c r="W291" s="32" t="str">
        <f t="shared" si="260"/>
        <v>1-0.0824821627041336i</v>
      </c>
      <c r="X291" s="18">
        <f t="shared" si="273"/>
        <v>1.0033958875560289</v>
      </c>
      <c r="Y291" s="18">
        <f t="shared" si="274"/>
        <v>-8.2295872054281835E-2</v>
      </c>
      <c r="Z291" s="32" t="str">
        <f t="shared" si="261"/>
        <v>0.999884638739875+0.0404819642659977i</v>
      </c>
      <c r="AA291" s="18">
        <f t="shared" si="275"/>
        <v>1.0007037924474973</v>
      </c>
      <c r="AB291" s="18">
        <f t="shared" si="276"/>
        <v>4.0464535126185551E-2</v>
      </c>
      <c r="AC291" s="68" t="str">
        <f t="shared" si="277"/>
        <v>-0.0435973161281152-1.29066071481106i</v>
      </c>
      <c r="AD291" s="66">
        <f t="shared" si="278"/>
        <v>2.2211944091657281</v>
      </c>
      <c r="AE291" s="63">
        <f t="shared" si="279"/>
        <v>-91.934662426475455</v>
      </c>
      <c r="AF291" s="51" t="e">
        <f t="shared" si="280"/>
        <v>#NUM!</v>
      </c>
      <c r="AG291" s="51" t="str">
        <f t="shared" si="262"/>
        <v>1-25.3070271933138i</v>
      </c>
      <c r="AH291" s="51">
        <f t="shared" si="281"/>
        <v>25.326776845132194</v>
      </c>
      <c r="AI291" s="51">
        <f t="shared" si="282"/>
        <v>-1.5313021575078745</v>
      </c>
      <c r="AJ291" s="51" t="str">
        <f t="shared" si="263"/>
        <v>1+0.0337427029244183i</v>
      </c>
      <c r="AK291" s="51">
        <f t="shared" si="283"/>
        <v>1.0005691230497999</v>
      </c>
      <c r="AL291" s="51">
        <f t="shared" si="284"/>
        <v>3.3729905522627217E-2</v>
      </c>
      <c r="AM291" s="51" t="e">
        <f t="shared" si="264"/>
        <v>#NUM!</v>
      </c>
      <c r="AN291" s="51" t="e">
        <f t="shared" si="285"/>
        <v>#NUM!</v>
      </c>
      <c r="AO291" s="51" t="e">
        <f t="shared" si="286"/>
        <v>#NUM!</v>
      </c>
      <c r="AP291" s="60" t="e">
        <f t="shared" si="287"/>
        <v>#NUM!</v>
      </c>
      <c r="AQ291" s="51" t="e">
        <f t="shared" si="288"/>
        <v>#NUM!</v>
      </c>
      <c r="AR291" s="63" t="e">
        <f t="shared" si="289"/>
        <v>#NUM!</v>
      </c>
      <c r="AS291" s="32" t="str">
        <f t="shared" si="265"/>
        <v>-0.000170731707317073</v>
      </c>
      <c r="AT291" s="32" t="str">
        <f t="shared" si="266"/>
        <v>0.0012822227111279i</v>
      </c>
      <c r="AU291" s="32">
        <f t="shared" si="290"/>
        <v>1.2822227111279E-3</v>
      </c>
      <c r="AV291" s="32">
        <f t="shared" si="291"/>
        <v>1.5707963267948966</v>
      </c>
      <c r="AW291" s="32" t="str">
        <f t="shared" si="267"/>
        <v>1+0.272996225975872i</v>
      </c>
      <c r="AX291" s="32">
        <f t="shared" si="292"/>
        <v>1.0365939124831234</v>
      </c>
      <c r="AY291" s="32">
        <f t="shared" si="293"/>
        <v>0.26650236546422595</v>
      </c>
      <c r="AZ291" s="32" t="str">
        <f t="shared" si="268"/>
        <v>1+5.18692829354158i</v>
      </c>
      <c r="BA291" s="32">
        <f t="shared" si="294"/>
        <v>5.2824449947294454</v>
      </c>
      <c r="BB291" s="32">
        <f t="shared" si="295"/>
        <v>1.3803407253901827</v>
      </c>
      <c r="BC291" s="60" t="str">
        <f t="shared" si="296"/>
        <v>-0.608923252549071+0.299386677061145i</v>
      </c>
      <c r="BD291" s="51">
        <f t="shared" si="297"/>
        <v>-3.3684590447905305</v>
      </c>
      <c r="BE291" s="63">
        <f t="shared" si="298"/>
        <v>153.81823708353087</v>
      </c>
      <c r="BF291" s="60" t="str">
        <f t="shared" si="299"/>
        <v>0.412954042159787+0.772860864795679i</v>
      </c>
      <c r="BG291" s="66">
        <f t="shared" si="300"/>
        <v>-1.1472646356248049</v>
      </c>
      <c r="BH291" s="63">
        <f t="shared" si="301"/>
        <v>61.883574657055455</v>
      </c>
      <c r="BI291" s="60" t="e">
        <f t="shared" si="255"/>
        <v>#NUM!</v>
      </c>
      <c r="BJ291" s="66" t="e">
        <f t="shared" si="302"/>
        <v>#NUM!</v>
      </c>
      <c r="BK291" s="63" t="e">
        <f t="shared" si="256"/>
        <v>#NUM!</v>
      </c>
      <c r="BL291" s="51">
        <f t="shared" si="303"/>
        <v>-1.1472646356248049</v>
      </c>
      <c r="BM291" s="63">
        <f t="shared" si="304"/>
        <v>61.883574657055455</v>
      </c>
    </row>
    <row r="292" spans="14:65" x14ac:dyDescent="0.3">
      <c r="N292" s="11">
        <v>74</v>
      </c>
      <c r="O292" s="52">
        <f t="shared" si="305"/>
        <v>5495.4087385762541</v>
      </c>
      <c r="P292" s="50" t="str">
        <f t="shared" si="257"/>
        <v>23.3035714285714</v>
      </c>
      <c r="Q292" s="18" t="str">
        <f t="shared" si="258"/>
        <v>1+18.4975025588403i</v>
      </c>
      <c r="R292" s="18">
        <f t="shared" si="269"/>
        <v>18.524513513566379</v>
      </c>
      <c r="S292" s="18">
        <f t="shared" si="270"/>
        <v>1.5167875495729872</v>
      </c>
      <c r="T292" s="18" t="str">
        <f t="shared" si="259"/>
        <v>1+0.0345286714431686i</v>
      </c>
      <c r="U292" s="18">
        <f t="shared" si="271"/>
        <v>1.0005959370053579</v>
      </c>
      <c r="V292" s="18">
        <f t="shared" si="272"/>
        <v>3.4514959221145537E-2</v>
      </c>
      <c r="W292" s="32" t="str">
        <f t="shared" si="260"/>
        <v>1-0.084403419083301i</v>
      </c>
      <c r="X292" s="18">
        <f t="shared" si="273"/>
        <v>1.0035556472627472</v>
      </c>
      <c r="Y292" s="18">
        <f t="shared" si="274"/>
        <v>-8.4203843233095169E-2</v>
      </c>
      <c r="Z292" s="32" t="str">
        <f t="shared" si="261"/>
        <v>0.999879201931184+0.0414249103471554i</v>
      </c>
      <c r="AA292" s="18">
        <f t="shared" si="275"/>
        <v>1.0007369492787859</v>
      </c>
      <c r="AB292" s="18">
        <f t="shared" si="276"/>
        <v>4.1406235424638775E-2</v>
      </c>
      <c r="AC292" s="68" t="str">
        <f t="shared" si="277"/>
        <v>-0.0468026425441126-1.26141270293776i</v>
      </c>
      <c r="AD292" s="66">
        <f t="shared" si="278"/>
        <v>2.0231186461067874</v>
      </c>
      <c r="AE292" s="63">
        <f t="shared" si="279"/>
        <v>-92.124890886478966</v>
      </c>
      <c r="AF292" s="51" t="e">
        <f t="shared" si="280"/>
        <v>#NUM!</v>
      </c>
      <c r="AG292" s="51" t="str">
        <f t="shared" si="262"/>
        <v>1-25.8965035823765i</v>
      </c>
      <c r="AH292" s="51">
        <f t="shared" si="281"/>
        <v>25.915804015928945</v>
      </c>
      <c r="AI292" s="51">
        <f t="shared" si="282"/>
        <v>-1.5322002516466899</v>
      </c>
      <c r="AJ292" s="51" t="str">
        <f t="shared" si="263"/>
        <v>1+0.0345286714431686i</v>
      </c>
      <c r="AK292" s="51">
        <f t="shared" si="283"/>
        <v>1.0005959370053579</v>
      </c>
      <c r="AL292" s="51">
        <f t="shared" si="284"/>
        <v>3.4514959221145537E-2</v>
      </c>
      <c r="AM292" s="51" t="e">
        <f t="shared" si="264"/>
        <v>#NUM!</v>
      </c>
      <c r="AN292" s="51" t="e">
        <f t="shared" si="285"/>
        <v>#NUM!</v>
      </c>
      <c r="AO292" s="51" t="e">
        <f t="shared" si="286"/>
        <v>#NUM!</v>
      </c>
      <c r="AP292" s="60" t="e">
        <f t="shared" si="287"/>
        <v>#NUM!</v>
      </c>
      <c r="AQ292" s="51" t="e">
        <f t="shared" si="288"/>
        <v>#NUM!</v>
      </c>
      <c r="AR292" s="63" t="e">
        <f t="shared" si="289"/>
        <v>#NUM!</v>
      </c>
      <c r="AS292" s="32" t="str">
        <f t="shared" si="265"/>
        <v>-0.000170731707317073</v>
      </c>
      <c r="AT292" s="32" t="str">
        <f t="shared" si="266"/>
        <v>0.00131208951484041i</v>
      </c>
      <c r="AU292" s="32">
        <f t="shared" si="290"/>
        <v>1.3120895148404099E-3</v>
      </c>
      <c r="AV292" s="32">
        <f t="shared" si="291"/>
        <v>1.5707963267948966</v>
      </c>
      <c r="AW292" s="32" t="str">
        <f t="shared" si="267"/>
        <v>1+0.279355124960204i</v>
      </c>
      <c r="AX292" s="32">
        <f t="shared" si="292"/>
        <v>1.0382867069559982</v>
      </c>
      <c r="AY292" s="32">
        <f t="shared" si="293"/>
        <v>0.27241061058162702</v>
      </c>
      <c r="AZ292" s="32" t="str">
        <f t="shared" si="268"/>
        <v>1+5.30774737424388i</v>
      </c>
      <c r="BA292" s="32">
        <f t="shared" si="294"/>
        <v>5.4011278626591324</v>
      </c>
      <c r="BB292" s="32">
        <f t="shared" si="295"/>
        <v>1.3845753740417623</v>
      </c>
      <c r="BC292" s="60" t="str">
        <f t="shared" si="296"/>
        <v>-0.606939327242146+0.299673608150205i</v>
      </c>
      <c r="BD292" s="51">
        <f t="shared" si="297"/>
        <v>-3.3896423383754821</v>
      </c>
      <c r="BE292" s="63">
        <f t="shared" si="298"/>
        <v>153.72234706943121</v>
      </c>
      <c r="BF292" s="60" t="str">
        <f t="shared" si="299"/>
        <v>0.40641846043474+0.751575460533583i</v>
      </c>
      <c r="BG292" s="66">
        <f t="shared" si="300"/>
        <v>-1.3665236922686881</v>
      </c>
      <c r="BH292" s="63">
        <f t="shared" si="301"/>
        <v>61.597456182952222</v>
      </c>
      <c r="BI292" s="60" t="e">
        <f t="shared" si="255"/>
        <v>#NUM!</v>
      </c>
      <c r="BJ292" s="66" t="e">
        <f t="shared" si="302"/>
        <v>#NUM!</v>
      </c>
      <c r="BK292" s="63" t="e">
        <f t="shared" si="256"/>
        <v>#NUM!</v>
      </c>
      <c r="BL292" s="51">
        <f t="shared" si="303"/>
        <v>-1.3665236922686881</v>
      </c>
      <c r="BM292" s="63">
        <f t="shared" si="304"/>
        <v>61.597456182952222</v>
      </c>
    </row>
    <row r="293" spans="14:65" x14ac:dyDescent="0.3">
      <c r="N293" s="11">
        <v>75</v>
      </c>
      <c r="O293" s="52">
        <f t="shared" si="305"/>
        <v>5623.4132519034993</v>
      </c>
      <c r="P293" s="50" t="str">
        <f t="shared" si="257"/>
        <v>23.3035714285714</v>
      </c>
      <c r="Q293" s="18" t="str">
        <f t="shared" si="258"/>
        <v>1+18.9283647431566i</v>
      </c>
      <c r="R293" s="18">
        <f t="shared" si="269"/>
        <v>18.954761719683365</v>
      </c>
      <c r="S293" s="18">
        <f t="shared" si="270"/>
        <v>1.518014630899305</v>
      </c>
      <c r="T293" s="18" t="str">
        <f t="shared" si="259"/>
        <v>1+0.035332947520559i</v>
      </c>
      <c r="U293" s="18">
        <f t="shared" si="271"/>
        <v>1.0006240138935756</v>
      </c>
      <c r="V293" s="18">
        <f t="shared" si="272"/>
        <v>3.5318255104774363E-2</v>
      </c>
      <c r="W293" s="32" t="str">
        <f t="shared" si="260"/>
        <v>1-0.0863694272724776i</v>
      </c>
      <c r="X293" s="18">
        <f t="shared" si="273"/>
        <v>1.0037229089581328</v>
      </c>
      <c r="Y293" s="18">
        <f t="shared" si="274"/>
        <v>-8.6155620712027786E-2</v>
      </c>
      <c r="Z293" s="32" t="str">
        <f t="shared" si="261"/>
        <v>0.999873508893593+0.0423898204641026i</v>
      </c>
      <c r="AA293" s="18">
        <f t="shared" si="275"/>
        <v>1.0007716675976417</v>
      </c>
      <c r="AB293" s="18">
        <f t="shared" si="276"/>
        <v>4.2369810751248418E-2</v>
      </c>
      <c r="AC293" s="68" t="str">
        <f t="shared" si="277"/>
        <v>-0.0498644239828794-1.23281794835446i</v>
      </c>
      <c r="AD293" s="66">
        <f t="shared" si="278"/>
        <v>1.8250782302135344</v>
      </c>
      <c r="AE293" s="63">
        <f t="shared" si="279"/>
        <v>-92.31620941531331</v>
      </c>
      <c r="AF293" s="51" t="e">
        <f t="shared" si="280"/>
        <v>#NUM!</v>
      </c>
      <c r="AG293" s="51" t="str">
        <f t="shared" si="262"/>
        <v>1-26.4997106404193i</v>
      </c>
      <c r="AH293" s="51">
        <f t="shared" si="281"/>
        <v>26.518572058577202</v>
      </c>
      <c r="AI293" s="51">
        <f t="shared" si="282"/>
        <v>-1.5330779628630686</v>
      </c>
      <c r="AJ293" s="51" t="str">
        <f t="shared" si="263"/>
        <v>1+0.035332947520559i</v>
      </c>
      <c r="AK293" s="51">
        <f t="shared" si="283"/>
        <v>1.0006240138935756</v>
      </c>
      <c r="AL293" s="51">
        <f t="shared" si="284"/>
        <v>3.5318255104774363E-2</v>
      </c>
      <c r="AM293" s="51" t="e">
        <f t="shared" si="264"/>
        <v>#NUM!</v>
      </c>
      <c r="AN293" s="51" t="e">
        <f t="shared" si="285"/>
        <v>#NUM!</v>
      </c>
      <c r="AO293" s="51" t="e">
        <f t="shared" si="286"/>
        <v>#NUM!</v>
      </c>
      <c r="AP293" s="60" t="e">
        <f t="shared" si="287"/>
        <v>#NUM!</v>
      </c>
      <c r="AQ293" s="51" t="e">
        <f t="shared" si="288"/>
        <v>#NUM!</v>
      </c>
      <c r="AR293" s="63" t="e">
        <f t="shared" si="289"/>
        <v>#NUM!</v>
      </c>
      <c r="AS293" s="32" t="str">
        <f t="shared" si="265"/>
        <v>-0.000170731707317073</v>
      </c>
      <c r="AT293" s="32" t="str">
        <f t="shared" si="266"/>
        <v>0.00134265200578124i</v>
      </c>
      <c r="AU293" s="32">
        <f t="shared" si="290"/>
        <v>1.34265200578124E-3</v>
      </c>
      <c r="AV293" s="32">
        <f t="shared" si="291"/>
        <v>1.5707963267948966</v>
      </c>
      <c r="AW293" s="32" t="str">
        <f t="shared" si="267"/>
        <v>1+0.285862141729491i</v>
      </c>
      <c r="AX293" s="32">
        <f t="shared" si="292"/>
        <v>1.0400563273564425</v>
      </c>
      <c r="AY293" s="32">
        <f t="shared" si="293"/>
        <v>0.2784363507362474</v>
      </c>
      <c r="AZ293" s="32" t="str">
        <f t="shared" si="268"/>
        <v>1+5.43138069286033i</v>
      </c>
      <c r="BA293" s="32">
        <f t="shared" si="294"/>
        <v>5.5226711137615245</v>
      </c>
      <c r="BB293" s="32">
        <f t="shared" si="295"/>
        <v>1.3887201697627161</v>
      </c>
      <c r="BC293" s="60" t="str">
        <f t="shared" si="296"/>
        <v>-0.60487571115623+0.300071124560335i</v>
      </c>
      <c r="BD293" s="51">
        <f t="shared" si="297"/>
        <v>-3.4111392250419343</v>
      </c>
      <c r="BE293" s="63">
        <f t="shared" si="298"/>
        <v>153.61457689188347</v>
      </c>
      <c r="BF293" s="60" t="str">
        <f t="shared" si="299"/>
        <v>0.400094847058928+0.730738759456972i</v>
      </c>
      <c r="BG293" s="66">
        <f t="shared" si="300"/>
        <v>-1.5860609948284048</v>
      </c>
      <c r="BH293" s="63">
        <f t="shared" si="301"/>
        <v>61.298367476570135</v>
      </c>
      <c r="BI293" s="60" t="e">
        <f t="shared" si="255"/>
        <v>#NUM!</v>
      </c>
      <c r="BJ293" s="66" t="e">
        <f t="shared" si="302"/>
        <v>#NUM!</v>
      </c>
      <c r="BK293" s="63" t="e">
        <f t="shared" si="256"/>
        <v>#NUM!</v>
      </c>
      <c r="BL293" s="51">
        <f t="shared" si="303"/>
        <v>-1.5860609948284048</v>
      </c>
      <c r="BM293" s="63">
        <f t="shared" si="304"/>
        <v>61.298367476570135</v>
      </c>
    </row>
    <row r="294" spans="14:65" x14ac:dyDescent="0.3">
      <c r="N294" s="11">
        <v>76</v>
      </c>
      <c r="O294" s="52">
        <f t="shared" si="305"/>
        <v>5754.399373371567</v>
      </c>
      <c r="P294" s="50" t="str">
        <f t="shared" si="257"/>
        <v>23.3035714285714</v>
      </c>
      <c r="Q294" s="18" t="str">
        <f t="shared" si="258"/>
        <v>1+19.3692629970062i</v>
      </c>
      <c r="R294" s="18">
        <f t="shared" si="269"/>
        <v>19.395059913472643</v>
      </c>
      <c r="S294" s="18">
        <f t="shared" si="270"/>
        <v>1.519213934197799</v>
      </c>
      <c r="T294" s="18" t="str">
        <f t="shared" si="259"/>
        <v>1+0.0361559575944116i</v>
      </c>
      <c r="U294" s="18">
        <f t="shared" si="271"/>
        <v>1.0006534131604052</v>
      </c>
      <c r="V294" s="18">
        <f t="shared" si="272"/>
        <v>3.6140214942421478E-2</v>
      </c>
      <c r="W294" s="32" t="str">
        <f t="shared" si="260"/>
        <v>1-0.0883812296752284i</v>
      </c>
      <c r="X294" s="18">
        <f t="shared" si="273"/>
        <v>1.0038980235855162</v>
      </c>
      <c r="Y294" s="18">
        <f t="shared" si="274"/>
        <v>-8.815217983493491E-2</v>
      </c>
      <c r="Z294" s="32" t="str">
        <f t="shared" si="261"/>
        <v>0.999867547551407+0.0433772062249555i</v>
      </c>
      <c r="AA294" s="18">
        <f t="shared" si="275"/>
        <v>1.0008080208842991</v>
      </c>
      <c r="AB294" s="18">
        <f t="shared" si="276"/>
        <v>4.3355766359319738E-2</v>
      </c>
      <c r="AC294" s="68" t="str">
        <f t="shared" si="277"/>
        <v>-0.0527890441062633-1.2048623231551i</v>
      </c>
      <c r="AD294" s="66">
        <f t="shared" si="278"/>
        <v>1.6270772422677524</v>
      </c>
      <c r="AE294" s="63">
        <f t="shared" si="279"/>
        <v>-92.508715109467374</v>
      </c>
      <c r="AF294" s="51" t="e">
        <f t="shared" si="280"/>
        <v>#NUM!</v>
      </c>
      <c r="AG294" s="51" t="str">
        <f t="shared" si="262"/>
        <v>1-27.1169681958088i</v>
      </c>
      <c r="AH294" s="51">
        <f t="shared" si="281"/>
        <v>27.135400570702945</v>
      </c>
      <c r="AI294" s="51">
        <f t="shared" si="282"/>
        <v>-1.5339357511186804</v>
      </c>
      <c r="AJ294" s="51" t="str">
        <f t="shared" si="263"/>
        <v>1+0.0361559575944116i</v>
      </c>
      <c r="AK294" s="51">
        <f t="shared" si="283"/>
        <v>1.0006534131604052</v>
      </c>
      <c r="AL294" s="51">
        <f t="shared" si="284"/>
        <v>3.6140214942421478E-2</v>
      </c>
      <c r="AM294" s="51" t="e">
        <f t="shared" si="264"/>
        <v>#NUM!</v>
      </c>
      <c r="AN294" s="51" t="e">
        <f t="shared" si="285"/>
        <v>#NUM!</v>
      </c>
      <c r="AO294" s="51" t="e">
        <f t="shared" si="286"/>
        <v>#NUM!</v>
      </c>
      <c r="AP294" s="60" t="e">
        <f t="shared" si="287"/>
        <v>#NUM!</v>
      </c>
      <c r="AQ294" s="51" t="e">
        <f t="shared" si="288"/>
        <v>#NUM!</v>
      </c>
      <c r="AR294" s="63" t="e">
        <f t="shared" si="289"/>
        <v>#NUM!</v>
      </c>
      <c r="AS294" s="32" t="str">
        <f t="shared" si="265"/>
        <v>-0.000170731707317073</v>
      </c>
      <c r="AT294" s="32" t="str">
        <f t="shared" si="266"/>
        <v>0.00137392638858764i</v>
      </c>
      <c r="AU294" s="32">
        <f t="shared" si="290"/>
        <v>1.3739263885876401E-3</v>
      </c>
      <c r="AV294" s="32">
        <f t="shared" si="291"/>
        <v>1.5707963267948966</v>
      </c>
      <c r="AW294" s="32" t="str">
        <f t="shared" si="267"/>
        <v>1+0.292520726390155i</v>
      </c>
      <c r="AX294" s="32">
        <f t="shared" si="292"/>
        <v>1.0419061259863212</v>
      </c>
      <c r="AY294" s="32">
        <f t="shared" si="293"/>
        <v>0.28458102983267108</v>
      </c>
      <c r="AZ294" s="32" t="str">
        <f t="shared" si="268"/>
        <v>1+5.55789380141295i</v>
      </c>
      <c r="BA294" s="32">
        <f t="shared" si="294"/>
        <v>5.6471394092747955</v>
      </c>
      <c r="BB294" s="32">
        <f t="shared" si="295"/>
        <v>1.3927767402617512</v>
      </c>
      <c r="BC294" s="60" t="str">
        <f t="shared" si="296"/>
        <v>-0.602729826822346+0.300576508738071i</v>
      </c>
      <c r="BD294" s="51">
        <f t="shared" si="297"/>
        <v>-3.432987280487183</v>
      </c>
      <c r="BE294" s="63">
        <f t="shared" si="298"/>
        <v>153.49493708208814</v>
      </c>
      <c r="BF294" s="60" t="str">
        <f t="shared" si="299"/>
        <v>0.393970842016287+0.710339312802962i</v>
      </c>
      <c r="BG294" s="66">
        <f t="shared" si="300"/>
        <v>-1.8059100382194311</v>
      </c>
      <c r="BH294" s="63">
        <f t="shared" si="301"/>
        <v>60.98622197262074</v>
      </c>
      <c r="BI294" s="60" t="e">
        <f t="shared" si="255"/>
        <v>#NUM!</v>
      </c>
      <c r="BJ294" s="66" t="e">
        <f t="shared" si="302"/>
        <v>#NUM!</v>
      </c>
      <c r="BK294" s="63" t="e">
        <f t="shared" si="256"/>
        <v>#NUM!</v>
      </c>
      <c r="BL294" s="51">
        <f t="shared" si="303"/>
        <v>-1.8059100382194311</v>
      </c>
      <c r="BM294" s="63">
        <f t="shared" si="304"/>
        <v>60.98622197262074</v>
      </c>
    </row>
    <row r="295" spans="14:65" x14ac:dyDescent="0.3">
      <c r="N295" s="11">
        <v>77</v>
      </c>
      <c r="O295" s="52">
        <f t="shared" si="305"/>
        <v>5888.4365535558973</v>
      </c>
      <c r="P295" s="50" t="str">
        <f t="shared" si="257"/>
        <v>23.3035714285714</v>
      </c>
      <c r="Q295" s="18" t="str">
        <f t="shared" si="258"/>
        <v>1+19.8204310904794i</v>
      </c>
      <c r="R295" s="18">
        <f t="shared" si="269"/>
        <v>19.84564155204972</v>
      </c>
      <c r="S295" s="18">
        <f t="shared" si="270"/>
        <v>1.5203860815471881</v>
      </c>
      <c r="T295" s="18" t="str">
        <f t="shared" si="259"/>
        <v>1+0.0369981380355616i</v>
      </c>
      <c r="U295" s="18">
        <f t="shared" si="271"/>
        <v>1.0006841970462501</v>
      </c>
      <c r="V295" s="18">
        <f t="shared" si="272"/>
        <v>3.6981270102888937E-2</v>
      </c>
      <c r="W295" s="32" t="str">
        <f t="shared" si="260"/>
        <v>1-0.0904398929758173i</v>
      </c>
      <c r="X295" s="18">
        <f t="shared" si="273"/>
        <v>1.0040813583776353</v>
      </c>
      <c r="Y295" s="18">
        <f t="shared" si="274"/>
        <v>-9.0194515498339345E-2</v>
      </c>
      <c r="Z295" s="32" t="str">
        <f t="shared" si="261"/>
        <v>0.999861305259819+0.0443875911547141i</v>
      </c>
      <c r="AA295" s="18">
        <f t="shared" si="275"/>
        <v>1.0008460860713733</v>
      </c>
      <c r="AB295" s="18">
        <f t="shared" si="276"/>
        <v>4.4364618965884235E-2</v>
      </c>
      <c r="AC295" s="68" t="str">
        <f t="shared" si="277"/>
        <v>-0.0555826053387148-1.17753196999075i</v>
      </c>
      <c r="AD295" s="66">
        <f t="shared" si="278"/>
        <v>1.4291198413393527</v>
      </c>
      <c r="AE295" s="63">
        <f t="shared" si="279"/>
        <v>-92.702505504891377</v>
      </c>
      <c r="AF295" s="51" t="e">
        <f t="shared" si="280"/>
        <v>#NUM!</v>
      </c>
      <c r="AG295" s="51" t="str">
        <f t="shared" si="262"/>
        <v>1-27.7486035266713i</v>
      </c>
      <c r="AH295" s="51">
        <f t="shared" si="281"/>
        <v>27.766616604843936</v>
      </c>
      <c r="AI295" s="51">
        <f t="shared" si="282"/>
        <v>-1.534774066172041</v>
      </c>
      <c r="AJ295" s="51" t="str">
        <f t="shared" si="263"/>
        <v>1+0.0369981380355616i</v>
      </c>
      <c r="AK295" s="51">
        <f t="shared" si="283"/>
        <v>1.0006841970462501</v>
      </c>
      <c r="AL295" s="51">
        <f t="shared" si="284"/>
        <v>3.6981270102888937E-2</v>
      </c>
      <c r="AM295" s="51" t="e">
        <f t="shared" si="264"/>
        <v>#NUM!</v>
      </c>
      <c r="AN295" s="51" t="e">
        <f t="shared" si="285"/>
        <v>#NUM!</v>
      </c>
      <c r="AO295" s="51" t="e">
        <f t="shared" si="286"/>
        <v>#NUM!</v>
      </c>
      <c r="AP295" s="60" t="e">
        <f t="shared" si="287"/>
        <v>#NUM!</v>
      </c>
      <c r="AQ295" s="51" t="e">
        <f t="shared" si="288"/>
        <v>#NUM!</v>
      </c>
      <c r="AR295" s="63" t="e">
        <f t="shared" si="289"/>
        <v>#NUM!</v>
      </c>
      <c r="AS295" s="32" t="str">
        <f t="shared" si="265"/>
        <v>-0.000170731707317073</v>
      </c>
      <c r="AT295" s="32" t="str">
        <f t="shared" si="266"/>
        <v>0.00140592924535134i</v>
      </c>
      <c r="AU295" s="32">
        <f t="shared" si="290"/>
        <v>1.4059292453513399E-3</v>
      </c>
      <c r="AV295" s="32">
        <f t="shared" si="291"/>
        <v>1.5707963267948966</v>
      </c>
      <c r="AW295" s="32" t="str">
        <f t="shared" si="267"/>
        <v>1+0.299334409411922i</v>
      </c>
      <c r="AX295" s="32">
        <f t="shared" si="292"/>
        <v>1.0438395895241683</v>
      </c>
      <c r="AY295" s="32">
        <f t="shared" si="293"/>
        <v>0.29084604910425937</v>
      </c>
      <c r="AZ295" s="32" t="str">
        <f t="shared" si="268"/>
        <v>1+5.68735377882653i</v>
      </c>
      <c r="BA295" s="32">
        <f t="shared" si="294"/>
        <v>5.7745989475921542</v>
      </c>
      <c r="BB295" s="32">
        <f t="shared" si="295"/>
        <v>1.3967467020916757</v>
      </c>
      <c r="BC295" s="60" t="str">
        <f t="shared" si="296"/>
        <v>-0.60049906860422+0.301186946957164i</v>
      </c>
      <c r="BD295" s="51">
        <f t="shared" si="297"/>
        <v>-3.455224371081278</v>
      </c>
      <c r="BE295" s="63">
        <f t="shared" si="298"/>
        <v>153.36343997694078</v>
      </c>
      <c r="BF295" s="60" t="str">
        <f t="shared" si="299"/>
        <v>0.388034561722463+0.690366096025245i</v>
      </c>
      <c r="BG295" s="66">
        <f t="shared" si="300"/>
        <v>-2.0261045297419278</v>
      </c>
      <c r="BH295" s="63">
        <f t="shared" si="301"/>
        <v>60.660934472049398</v>
      </c>
      <c r="BI295" s="60" t="e">
        <f t="shared" si="255"/>
        <v>#NUM!</v>
      </c>
      <c r="BJ295" s="66" t="e">
        <f t="shared" si="302"/>
        <v>#NUM!</v>
      </c>
      <c r="BK295" s="63" t="e">
        <f t="shared" si="256"/>
        <v>#NUM!</v>
      </c>
      <c r="BL295" s="51">
        <f t="shared" si="303"/>
        <v>-2.0261045297419278</v>
      </c>
      <c r="BM295" s="63">
        <f t="shared" si="304"/>
        <v>60.660934472049398</v>
      </c>
    </row>
    <row r="296" spans="14:65" x14ac:dyDescent="0.3">
      <c r="N296" s="11">
        <v>78</v>
      </c>
      <c r="O296" s="52">
        <f t="shared" si="305"/>
        <v>6025.595860743585</v>
      </c>
      <c r="P296" s="50" t="str">
        <f t="shared" si="257"/>
        <v>23.3035714285714</v>
      </c>
      <c r="Q296" s="18" t="str">
        <f t="shared" si="258"/>
        <v>1+20.2821082388711i</v>
      </c>
      <c r="R296" s="18">
        <f t="shared" si="269"/>
        <v>20.306745544603718</v>
      </c>
      <c r="S296" s="18">
        <f t="shared" si="270"/>
        <v>1.5215316815446172</v>
      </c>
      <c r="T296" s="18" t="str">
        <f t="shared" si="259"/>
        <v>1+0.0378599353792262i</v>
      </c>
      <c r="U296" s="18">
        <f t="shared" si="271"/>
        <v>1.0007164307169736</v>
      </c>
      <c r="V296" s="18">
        <f t="shared" si="272"/>
        <v>3.784186176251475E-2</v>
      </c>
      <c r="W296" s="32" t="str">
        <f t="shared" si="260"/>
        <v>1-0.0925465087047752i</v>
      </c>
      <c r="X296" s="18">
        <f t="shared" si="273"/>
        <v>1.0042732976005302</v>
      </c>
      <c r="Y296" s="18">
        <f t="shared" si="274"/>
        <v>-9.2283642387050932E-2</v>
      </c>
      <c r="Z296" s="32" t="str">
        <f t="shared" si="261"/>
        <v>0.999854768778092+0.0454215109728421i</v>
      </c>
      <c r="AA296" s="18">
        <f t="shared" si="275"/>
        <v>1.0008859437055491</v>
      </c>
      <c r="AB296" s="18">
        <f t="shared" si="276"/>
        <v>4.539689699703231E-2</v>
      </c>
      <c r="AC296" s="68" t="str">
        <f t="shared" si="277"/>
        <v>-0.0582509409648892-1.15081329921792i</v>
      </c>
      <c r="AD296" s="66">
        <f t="shared" si="278"/>
        <v>1.2312102729359566</v>
      </c>
      <c r="AE296" s="63">
        <f t="shared" si="279"/>
        <v>-92.897678607832873</v>
      </c>
      <c r="AF296" s="51" t="e">
        <f t="shared" si="280"/>
        <v>#NUM!</v>
      </c>
      <c r="AG296" s="51" t="str">
        <f t="shared" si="262"/>
        <v>1-28.3949515344197i</v>
      </c>
      <c r="AH296" s="51">
        <f t="shared" si="281"/>
        <v>28.412554841866015</v>
      </c>
      <c r="AI296" s="51">
        <f t="shared" si="282"/>
        <v>-1.535593347793041</v>
      </c>
      <c r="AJ296" s="51" t="str">
        <f t="shared" si="263"/>
        <v>1+0.0378599353792262i</v>
      </c>
      <c r="AK296" s="51">
        <f t="shared" si="283"/>
        <v>1.0007164307169736</v>
      </c>
      <c r="AL296" s="51">
        <f t="shared" si="284"/>
        <v>3.784186176251475E-2</v>
      </c>
      <c r="AM296" s="51" t="e">
        <f t="shared" si="264"/>
        <v>#NUM!</v>
      </c>
      <c r="AN296" s="51" t="e">
        <f t="shared" si="285"/>
        <v>#NUM!</v>
      </c>
      <c r="AO296" s="51" t="e">
        <f t="shared" si="286"/>
        <v>#NUM!</v>
      </c>
      <c r="AP296" s="60" t="e">
        <f t="shared" si="287"/>
        <v>#NUM!</v>
      </c>
      <c r="AQ296" s="51" t="e">
        <f t="shared" si="288"/>
        <v>#NUM!</v>
      </c>
      <c r="AR296" s="63" t="e">
        <f t="shared" si="289"/>
        <v>#NUM!</v>
      </c>
      <c r="AS296" s="32" t="str">
        <f t="shared" si="265"/>
        <v>-0.000170731707317073</v>
      </c>
      <c r="AT296" s="32" t="str">
        <f t="shared" si="266"/>
        <v>0.0014386775444106i</v>
      </c>
      <c r="AU296" s="32">
        <f t="shared" si="290"/>
        <v>1.4386775444105999E-3</v>
      </c>
      <c r="AV296" s="32">
        <f t="shared" si="291"/>
        <v>1.5707963267948966</v>
      </c>
      <c r="AW296" s="32" t="str">
        <f t="shared" si="267"/>
        <v>1+0.306306803499718i</v>
      </c>
      <c r="AX296" s="32">
        <f t="shared" si="292"/>
        <v>1.0458603433873066</v>
      </c>
      <c r="AY296" s="32">
        <f t="shared" si="293"/>
        <v>0.29723276236389379</v>
      </c>
      <c r="AZ296" s="32" t="str">
        <f t="shared" si="268"/>
        <v>1+5.81982926649465i</v>
      </c>
      <c r="BA296" s="32">
        <f t="shared" si="294"/>
        <v>5.9051175001982523</v>
      </c>
      <c r="BB296" s="32">
        <f t="shared" si="295"/>
        <v>1.4006316593789636</v>
      </c>
      <c r="BC296" s="60" t="str">
        <f t="shared" si="296"/>
        <v>-0.598180807797755+0.301899522439275i</v>
      </c>
      <c r="BD296" s="51">
        <f t="shared" si="297"/>
        <v>-3.4778886781022749</v>
      </c>
      <c r="BE296" s="63">
        <f t="shared" si="298"/>
        <v>153.2200999183537</v>
      </c>
      <c r="BF296" s="60" t="str">
        <f t="shared" si="299"/>
        <v>0.382274580372013+0.670808497691636i</v>
      </c>
      <c r="BG296" s="66">
        <f t="shared" si="300"/>
        <v>-2.2466784051663264</v>
      </c>
      <c r="BH296" s="63">
        <f t="shared" si="301"/>
        <v>60.322421310520831</v>
      </c>
      <c r="BI296" s="60" t="e">
        <f t="shared" si="255"/>
        <v>#NUM!</v>
      </c>
      <c r="BJ296" s="66" t="e">
        <f t="shared" si="302"/>
        <v>#NUM!</v>
      </c>
      <c r="BK296" s="63" t="e">
        <f t="shared" si="256"/>
        <v>#NUM!</v>
      </c>
      <c r="BL296" s="51">
        <f t="shared" si="303"/>
        <v>-2.2466784051663264</v>
      </c>
      <c r="BM296" s="63">
        <f t="shared" si="304"/>
        <v>60.322421310520831</v>
      </c>
    </row>
    <row r="297" spans="14:65" x14ac:dyDescent="0.3">
      <c r="N297" s="11">
        <v>79</v>
      </c>
      <c r="O297" s="52">
        <f t="shared" si="305"/>
        <v>6165.9500186148289</v>
      </c>
      <c r="P297" s="50" t="str">
        <f t="shared" si="257"/>
        <v>23.3035714285714</v>
      </c>
      <c r="Q297" s="18" t="str">
        <f t="shared" si="258"/>
        <v>1+20.7545392295166i</v>
      </c>
      <c r="R297" s="18">
        <f t="shared" si="269"/>
        <v>20.778616379093762</v>
      </c>
      <c r="S297" s="18">
        <f t="shared" si="270"/>
        <v>1.5226513295676602</v>
      </c>
      <c r="T297" s="18" t="str">
        <f t="shared" si="259"/>
        <v>1+0.0387418065617644i</v>
      </c>
      <c r="U297" s="18">
        <f t="shared" si="271"/>
        <v>1.0007501824010172</v>
      </c>
      <c r="V297" s="18">
        <f t="shared" si="272"/>
        <v>3.8722441116520394E-2</v>
      </c>
      <c r="W297" s="32" t="str">
        <f t="shared" si="260"/>
        <v>1-0.0947021938176463i</v>
      </c>
      <c r="X297" s="18">
        <f t="shared" si="273"/>
        <v>1.0044742433302485</v>
      </c>
      <c r="Y297" s="18">
        <f t="shared" si="274"/>
        <v>-9.4420595200348331E-2</v>
      </c>
      <c r="Z297" s="32" t="str">
        <f t="shared" si="261"/>
        <v>0.999847924241472+0.0464795138773128i</v>
      </c>
      <c r="AA297" s="18">
        <f t="shared" si="275"/>
        <v>1.0009276781167815</v>
      </c>
      <c r="AB297" s="18">
        <f t="shared" si="276"/>
        <v>4.6453140837425487E-2</v>
      </c>
      <c r="AC297" s="68" t="str">
        <f t="shared" si="277"/>
        <v>-0.0607996267300336-1.12469298589621i</v>
      </c>
      <c r="AD297" s="66">
        <f t="shared" si="278"/>
        <v>1.0333528772873075</v>
      </c>
      <c r="AE297" s="63">
        <f t="shared" si="279"/>
        <v>-93.094332924994276</v>
      </c>
      <c r="AF297" s="51" t="e">
        <f t="shared" si="280"/>
        <v>#NUM!</v>
      </c>
      <c r="AG297" s="51" t="str">
        <f t="shared" si="262"/>
        <v>1-29.0563549213234i</v>
      </c>
      <c r="AH297" s="51">
        <f t="shared" si="281"/>
        <v>29.073557768424468</v>
      </c>
      <c r="AI297" s="51">
        <f t="shared" si="282"/>
        <v>-1.5363940259737667</v>
      </c>
      <c r="AJ297" s="51" t="str">
        <f t="shared" si="263"/>
        <v>1+0.0387418065617644i</v>
      </c>
      <c r="AK297" s="51">
        <f t="shared" si="283"/>
        <v>1.0007501824010172</v>
      </c>
      <c r="AL297" s="51">
        <f t="shared" si="284"/>
        <v>3.8722441116520394E-2</v>
      </c>
      <c r="AM297" s="51" t="e">
        <f t="shared" si="264"/>
        <v>#NUM!</v>
      </c>
      <c r="AN297" s="51" t="e">
        <f t="shared" si="285"/>
        <v>#NUM!</v>
      </c>
      <c r="AO297" s="51" t="e">
        <f t="shared" si="286"/>
        <v>#NUM!</v>
      </c>
      <c r="AP297" s="60" t="e">
        <f t="shared" si="287"/>
        <v>#NUM!</v>
      </c>
      <c r="AQ297" s="51" t="e">
        <f t="shared" si="288"/>
        <v>#NUM!</v>
      </c>
      <c r="AR297" s="63" t="e">
        <f t="shared" si="289"/>
        <v>#NUM!</v>
      </c>
      <c r="AS297" s="32" t="str">
        <f t="shared" si="265"/>
        <v>-0.000170731707317073</v>
      </c>
      <c r="AT297" s="32" t="str">
        <f t="shared" si="266"/>
        <v>0.00147218864934705i</v>
      </c>
      <c r="AU297" s="32">
        <f t="shared" si="290"/>
        <v>1.47218864934705E-3</v>
      </c>
      <c r="AV297" s="32">
        <f t="shared" si="291"/>
        <v>1.5707963267948966</v>
      </c>
      <c r="AW297" s="32" t="str">
        <f t="shared" si="267"/>
        <v>1+0.31344160550918i</v>
      </c>
      <c r="AX297" s="32">
        <f t="shared" si="292"/>
        <v>1.0479721561492807</v>
      </c>
      <c r="AY297" s="32">
        <f t="shared" si="293"/>
        <v>0.30374247104181185</v>
      </c>
      <c r="AZ297" s="32" t="str">
        <f t="shared" si="268"/>
        <v>1+5.95539050467443i</v>
      </c>
      <c r="BA297" s="32">
        <f t="shared" si="294"/>
        <v>6.0387644483922669</v>
      </c>
      <c r="BB297" s="32">
        <f t="shared" si="295"/>
        <v>1.404433202663373</v>
      </c>
      <c r="BC297" s="60" t="str">
        <f t="shared" si="296"/>
        <v>-0.595772398286991+0.302711208529885i</v>
      </c>
      <c r="BD297" s="51">
        <f t="shared" si="297"/>
        <v>-3.5010187200780463</v>
      </c>
      <c r="BE297" s="63">
        <f t="shared" si="298"/>
        <v>153.06493347108227</v>
      </c>
      <c r="BF297" s="60" t="str">
        <f t="shared" si="299"/>
        <v>0.376679912417633+0.651656309058328i</v>
      </c>
      <c r="BG297" s="66">
        <f t="shared" si="300"/>
        <v>-2.4676658427907308</v>
      </c>
      <c r="BH297" s="63">
        <f t="shared" si="301"/>
        <v>59.970600546088001</v>
      </c>
      <c r="BI297" s="60" t="e">
        <f t="shared" si="255"/>
        <v>#NUM!</v>
      </c>
      <c r="BJ297" s="66" t="e">
        <f t="shared" si="302"/>
        <v>#NUM!</v>
      </c>
      <c r="BK297" s="63" t="e">
        <f t="shared" si="256"/>
        <v>#NUM!</v>
      </c>
      <c r="BL297" s="51">
        <f t="shared" si="303"/>
        <v>-2.4676658427907308</v>
      </c>
      <c r="BM297" s="63">
        <f t="shared" si="304"/>
        <v>59.970600546088001</v>
      </c>
    </row>
    <row r="298" spans="14:65" x14ac:dyDescent="0.3">
      <c r="N298" s="11">
        <v>80</v>
      </c>
      <c r="O298" s="52">
        <f t="shared" si="305"/>
        <v>6309.5734448019384</v>
      </c>
      <c r="P298" s="50" t="str">
        <f t="shared" si="257"/>
        <v>23.3035714285714</v>
      </c>
      <c r="Q298" s="18" t="str">
        <f t="shared" si="258"/>
        <v>1+21.2379745515803i</v>
      </c>
      <c r="R298" s="18">
        <f t="shared" si="269"/>
        <v>21.261504251900252</v>
      </c>
      <c r="S298" s="18">
        <f t="shared" si="270"/>
        <v>1.5237456080333076</v>
      </c>
      <c r="T298" s="18" t="str">
        <f t="shared" si="259"/>
        <v>1+0.03964421916295i</v>
      </c>
      <c r="U298" s="18">
        <f t="shared" si="271"/>
        <v>1.0007855235329097</v>
      </c>
      <c r="V298" s="18">
        <f t="shared" si="272"/>
        <v>3.962346959406729E-2</v>
      </c>
      <c r="W298" s="32" t="str">
        <f t="shared" si="260"/>
        <v>1-0.0969080912872111i</v>
      </c>
      <c r="X298" s="18">
        <f t="shared" si="273"/>
        <v>1.0046846162636962</v>
      </c>
      <c r="Y298" s="18">
        <f t="shared" si="274"/>
        <v>-9.6606428867521396E-2</v>
      </c>
      <c r="Z298" s="32" t="str">
        <f t="shared" si="261"/>
        <v>0.999840757131779+0.0475621608352702i</v>
      </c>
      <c r="AA298" s="18">
        <f t="shared" si="275"/>
        <v>1.0009713775953684</v>
      </c>
      <c r="AB298" s="18">
        <f t="shared" si="276"/>
        <v>4.7533903083976099E-2</v>
      </c>
      <c r="AC298" s="68" t="str">
        <f t="shared" si="277"/>
        <v>-0.0632339919613819-1.09915796665235i</v>
      </c>
      <c r="AD298" s="66">
        <f t="shared" si="278"/>
        <v>0.83555209777531436</v>
      </c>
      <c r="AE298" s="63">
        <f t="shared" si="279"/>
        <v>-93.292567492934452</v>
      </c>
      <c r="AF298" s="51" t="e">
        <f t="shared" si="280"/>
        <v>#NUM!</v>
      </c>
      <c r="AG298" s="51" t="str">
        <f t="shared" si="262"/>
        <v>1-29.7331643722126i</v>
      </c>
      <c r="AH298" s="51">
        <f t="shared" si="281"/>
        <v>29.74997585856185</v>
      </c>
      <c r="AI298" s="51">
        <f t="shared" si="282"/>
        <v>-1.5371765211356161</v>
      </c>
      <c r="AJ298" s="51" t="str">
        <f t="shared" si="263"/>
        <v>1+0.03964421916295i</v>
      </c>
      <c r="AK298" s="51">
        <f t="shared" si="283"/>
        <v>1.0007855235329097</v>
      </c>
      <c r="AL298" s="51">
        <f t="shared" si="284"/>
        <v>3.962346959406729E-2</v>
      </c>
      <c r="AM298" s="51" t="e">
        <f t="shared" si="264"/>
        <v>#NUM!</v>
      </c>
      <c r="AN298" s="51" t="e">
        <f t="shared" si="285"/>
        <v>#NUM!</v>
      </c>
      <c r="AO298" s="51" t="e">
        <f t="shared" si="286"/>
        <v>#NUM!</v>
      </c>
      <c r="AP298" s="60" t="e">
        <f t="shared" si="287"/>
        <v>#NUM!</v>
      </c>
      <c r="AQ298" s="51" t="e">
        <f t="shared" si="288"/>
        <v>#NUM!</v>
      </c>
      <c r="AR298" s="63" t="e">
        <f t="shared" si="289"/>
        <v>#NUM!</v>
      </c>
      <c r="AS298" s="32" t="str">
        <f t="shared" si="265"/>
        <v>-0.000170731707317073</v>
      </c>
      <c r="AT298" s="32" t="str">
        <f t="shared" si="266"/>
        <v>0.0015064803281921i</v>
      </c>
      <c r="AU298" s="32">
        <f t="shared" si="290"/>
        <v>1.5064803281920999E-3</v>
      </c>
      <c r="AV298" s="32">
        <f t="shared" si="291"/>
        <v>1.5707963267948966</v>
      </c>
      <c r="AW298" s="32" t="str">
        <f t="shared" si="267"/>
        <v>1+0.320742598406772i</v>
      </c>
      <c r="AX298" s="32">
        <f t="shared" si="292"/>
        <v>1.0501789440056051</v>
      </c>
      <c r="AY298" s="32">
        <f t="shared" si="293"/>
        <v>0.31037641901248264</v>
      </c>
      <c r="AZ298" s="32" t="str">
        <f t="shared" si="268"/>
        <v>1+6.09410936972868i</v>
      </c>
      <c r="BA298" s="32">
        <f t="shared" si="294"/>
        <v>6.1756108208188527</v>
      </c>
      <c r="BB298" s="32">
        <f t="shared" si="295"/>
        <v>1.408152907841699</v>
      </c>
      <c r="BC298" s="60" t="str">
        <f t="shared" si="296"/>
        <v>-0.593271182781182+0.303618861968366i</v>
      </c>
      <c r="BD298" s="51">
        <f t="shared" si="297"/>
        <v>-3.5246533730363998</v>
      </c>
      <c r="BE298" s="63">
        <f t="shared" si="298"/>
        <v>152.89795965860449</v>
      </c>
      <c r="BF298" s="60" t="str">
        <f t="shared" si="299"/>
        <v>0.371239996161355+0.632899714262167i</v>
      </c>
      <c r="BG298" s="66">
        <f t="shared" si="300"/>
        <v>-2.6891012752610828</v>
      </c>
      <c r="BH298" s="63">
        <f t="shared" si="301"/>
        <v>59.605392165669983</v>
      </c>
      <c r="BI298" s="60" t="e">
        <f t="shared" si="255"/>
        <v>#NUM!</v>
      </c>
      <c r="BJ298" s="66" t="e">
        <f t="shared" si="302"/>
        <v>#NUM!</v>
      </c>
      <c r="BK298" s="63" t="e">
        <f t="shared" si="256"/>
        <v>#NUM!</v>
      </c>
      <c r="BL298" s="51">
        <f t="shared" si="303"/>
        <v>-2.6891012752610828</v>
      </c>
      <c r="BM298" s="63">
        <f t="shared" si="304"/>
        <v>59.605392165669983</v>
      </c>
    </row>
    <row r="299" spans="14:65" x14ac:dyDescent="0.3">
      <c r="N299" s="11">
        <v>81</v>
      </c>
      <c r="O299" s="52">
        <f t="shared" si="305"/>
        <v>6456.5422903465615</v>
      </c>
      <c r="P299" s="50" t="str">
        <f t="shared" si="257"/>
        <v>23.3035714285714</v>
      </c>
      <c r="Q299" s="18" t="str">
        <f t="shared" si="258"/>
        <v>1+21.7326705288692i</v>
      </c>
      <c r="R299" s="18">
        <f t="shared" si="269"/>
        <v>21.755665200503064</v>
      </c>
      <c r="S299" s="18">
        <f t="shared" si="270"/>
        <v>1.5248150866538179</v>
      </c>
      <c r="T299" s="18" t="str">
        <f t="shared" si="259"/>
        <v>1+0.0405676516538892i</v>
      </c>
      <c r="U299" s="18">
        <f t="shared" si="271"/>
        <v>1.0008225289034571</v>
      </c>
      <c r="V299" s="18">
        <f t="shared" si="272"/>
        <v>4.054541907702628E-2</v>
      </c>
      <c r="W299" s="32" t="str">
        <f t="shared" si="260"/>
        <v>1-0.099165370709507i</v>
      </c>
      <c r="X299" s="18">
        <f t="shared" si="273"/>
        <v>1.0049048565650152</v>
      </c>
      <c r="Y299" s="18">
        <f t="shared" si="274"/>
        <v>-9.8842218751500316E-2</v>
      </c>
      <c r="Z299" s="32" t="str">
        <f t="shared" si="261"/>
        <v>0.999833252246612+0.0486700258804622i</v>
      </c>
      <c r="AA299" s="18">
        <f t="shared" si="275"/>
        <v>1.0010171345772469</v>
      </c>
      <c r="AB299" s="18">
        <f t="shared" si="276"/>
        <v>4.8639748803679002E-2</v>
      </c>
      <c r="AC299" s="68" t="str">
        <f t="shared" si="277"/>
        <v>-0.0655591302283388-1.07419543642674i</v>
      </c>
      <c r="AD299" s="66">
        <f t="shared" si="278"/>
        <v>0.63781248952267244</v>
      </c>
      <c r="AE299" s="63">
        <f t="shared" si="279"/>
        <v>-93.492481906632932</v>
      </c>
      <c r="AF299" s="51" t="e">
        <f t="shared" si="280"/>
        <v>#NUM!</v>
      </c>
      <c r="AG299" s="51" t="str">
        <f t="shared" si="262"/>
        <v>1-30.425738740417i</v>
      </c>
      <c r="AH299" s="51">
        <f t="shared" si="281"/>
        <v>30.442167759542222</v>
      </c>
      <c r="AI299" s="51">
        <f t="shared" si="282"/>
        <v>-1.5379412443327249</v>
      </c>
      <c r="AJ299" s="51" t="str">
        <f t="shared" si="263"/>
        <v>1+0.0405676516538892i</v>
      </c>
      <c r="AK299" s="51">
        <f t="shared" si="283"/>
        <v>1.0008225289034571</v>
      </c>
      <c r="AL299" s="51">
        <f t="shared" si="284"/>
        <v>4.054541907702628E-2</v>
      </c>
      <c r="AM299" s="51" t="e">
        <f t="shared" si="264"/>
        <v>#NUM!</v>
      </c>
      <c r="AN299" s="51" t="e">
        <f t="shared" si="285"/>
        <v>#NUM!</v>
      </c>
      <c r="AO299" s="51" t="e">
        <f t="shared" si="286"/>
        <v>#NUM!</v>
      </c>
      <c r="AP299" s="60" t="e">
        <f t="shared" si="287"/>
        <v>#NUM!</v>
      </c>
      <c r="AQ299" s="51" t="e">
        <f t="shared" si="288"/>
        <v>#NUM!</v>
      </c>
      <c r="AR299" s="63" t="e">
        <f t="shared" si="289"/>
        <v>#NUM!</v>
      </c>
      <c r="AS299" s="32" t="str">
        <f t="shared" si="265"/>
        <v>-0.000170731707317073</v>
      </c>
      <c r="AT299" s="32" t="str">
        <f t="shared" si="266"/>
        <v>0.00154157076284779i</v>
      </c>
      <c r="AU299" s="32">
        <f t="shared" si="290"/>
        <v>1.5415707628477901E-3</v>
      </c>
      <c r="AV299" s="32">
        <f t="shared" si="291"/>
        <v>1.5707963267948966</v>
      </c>
      <c r="AW299" s="32" t="str">
        <f t="shared" si="267"/>
        <v>1+0.328213653275571i</v>
      </c>
      <c r="AX299" s="32">
        <f t="shared" si="292"/>
        <v>1.0524847752801447</v>
      </c>
      <c r="AY299" s="32">
        <f t="shared" si="293"/>
        <v>0.31713578721397656</v>
      </c>
      <c r="AZ299" s="32" t="str">
        <f t="shared" si="268"/>
        <v>1+6.23605941223585i</v>
      </c>
      <c r="BA299" s="32">
        <f t="shared" si="294"/>
        <v>6.3157293318298038</v>
      </c>
      <c r="BB299" s="32">
        <f t="shared" si="295"/>
        <v>1.4117923352099566</v>
      </c>
      <c r="BC299" s="60" t="str">
        <f t="shared" si="296"/>
        <v>-0.590674499656006+0.304619216295286i</v>
      </c>
      <c r="BD299" s="51">
        <f t="shared" si="297"/>
        <v>-3.5488318884603478</v>
      </c>
      <c r="BE299" s="63">
        <f t="shared" si="298"/>
        <v>152.71920021652952</v>
      </c>
      <c r="BF299" s="60" t="str">
        <f t="shared" si="299"/>
        <v>0.365944678437793+0.614529281072973i</v>
      </c>
      <c r="BG299" s="66">
        <f t="shared" si="300"/>
        <v>-2.9110193989376714</v>
      </c>
      <c r="BH299" s="63">
        <f t="shared" si="301"/>
        <v>59.226718309896597</v>
      </c>
      <c r="BI299" s="60" t="e">
        <f t="shared" si="255"/>
        <v>#NUM!</v>
      </c>
      <c r="BJ299" s="66" t="e">
        <f t="shared" si="302"/>
        <v>#NUM!</v>
      </c>
      <c r="BK299" s="63" t="e">
        <f t="shared" si="256"/>
        <v>#NUM!</v>
      </c>
      <c r="BL299" s="51">
        <f t="shared" si="303"/>
        <v>-2.9110193989376714</v>
      </c>
      <c r="BM299" s="63">
        <f t="shared" si="304"/>
        <v>59.226718309896597</v>
      </c>
    </row>
    <row r="300" spans="14:65" x14ac:dyDescent="0.3">
      <c r="N300" s="11">
        <v>82</v>
      </c>
      <c r="O300" s="52">
        <f t="shared" si="305"/>
        <v>6606.9344800759654</v>
      </c>
      <c r="P300" s="50" t="str">
        <f t="shared" si="257"/>
        <v>23.3035714285714</v>
      </c>
      <c r="Q300" s="18" t="str">
        <f t="shared" si="258"/>
        <v>1+22.2388894557383i</v>
      </c>
      <c r="R300" s="18">
        <f t="shared" si="269"/>
        <v>22.261361239253727</v>
      </c>
      <c r="S300" s="18">
        <f t="shared" si="270"/>
        <v>1.5258603226893206</v>
      </c>
      <c r="T300" s="18" t="str">
        <f t="shared" si="259"/>
        <v>1+0.0415125936507115i</v>
      </c>
      <c r="U300" s="18">
        <f t="shared" si="271"/>
        <v>1.0008612768169269</v>
      </c>
      <c r="V300" s="18">
        <f t="shared" si="272"/>
        <v>4.1488772122452409E-2</v>
      </c>
      <c r="W300" s="32" t="str">
        <f t="shared" si="260"/>
        <v>1-0.101475228923961i</v>
      </c>
      <c r="X300" s="18">
        <f t="shared" si="273"/>
        <v>1.0051354247489093</v>
      </c>
      <c r="Y300" s="18">
        <f t="shared" si="274"/>
        <v>-0.10112906083919324</v>
      </c>
      <c r="Z300" s="32" t="str">
        <f t="shared" si="261"/>
        <v>0.999825393667104+0.0498036964175998i</v>
      </c>
      <c r="AA300" s="18">
        <f t="shared" si="275"/>
        <v>1.0010650458378996</v>
      </c>
      <c r="AB300" s="18">
        <f t="shared" si="276"/>
        <v>4.9771255795564816E-2</v>
      </c>
      <c r="AC300" s="68" t="str">
        <f t="shared" si="277"/>
        <v>-0.0677799095587363-1.04979284511706i</v>
      </c>
      <c r="AD300" s="66">
        <f t="shared" si="278"/>
        <v>0.44013872815007954</v>
      </c>
      <c r="AE300" s="63">
        <f t="shared" si="279"/>
        <v>-93.694176347130792</v>
      </c>
      <c r="AF300" s="51" t="e">
        <f t="shared" si="280"/>
        <v>#NUM!</v>
      </c>
      <c r="AG300" s="51" t="str">
        <f t="shared" si="262"/>
        <v>1-31.1344452380337i</v>
      </c>
      <c r="AH300" s="51">
        <f t="shared" si="281"/>
        <v>31.150500482016646</v>
      </c>
      <c r="AI300" s="51">
        <f t="shared" si="282"/>
        <v>-1.5386885974517193</v>
      </c>
      <c r="AJ300" s="51" t="str">
        <f t="shared" si="263"/>
        <v>1+0.0415125936507115i</v>
      </c>
      <c r="AK300" s="51">
        <f t="shared" si="283"/>
        <v>1.0008612768169269</v>
      </c>
      <c r="AL300" s="51">
        <f t="shared" si="284"/>
        <v>4.1488772122452409E-2</v>
      </c>
      <c r="AM300" s="51" t="e">
        <f t="shared" si="264"/>
        <v>#NUM!</v>
      </c>
      <c r="AN300" s="51" t="e">
        <f t="shared" si="285"/>
        <v>#NUM!</v>
      </c>
      <c r="AO300" s="51" t="e">
        <f t="shared" si="286"/>
        <v>#NUM!</v>
      </c>
      <c r="AP300" s="60" t="e">
        <f t="shared" si="287"/>
        <v>#NUM!</v>
      </c>
      <c r="AQ300" s="51" t="e">
        <f t="shared" si="288"/>
        <v>#NUM!</v>
      </c>
      <c r="AR300" s="63" t="e">
        <f t="shared" si="289"/>
        <v>#NUM!</v>
      </c>
      <c r="AS300" s="32" t="str">
        <f t="shared" si="265"/>
        <v>-0.000170731707317073</v>
      </c>
      <c r="AT300" s="32" t="str">
        <f t="shared" si="266"/>
        <v>0.00157747855872704i</v>
      </c>
      <c r="AU300" s="32">
        <f t="shared" si="290"/>
        <v>1.5774785587270401E-3</v>
      </c>
      <c r="AV300" s="32">
        <f t="shared" si="291"/>
        <v>1.5707963267948966</v>
      </c>
      <c r="AW300" s="32" t="str">
        <f t="shared" si="267"/>
        <v>1+0.335858731367756i</v>
      </c>
      <c r="AX300" s="32">
        <f t="shared" si="292"/>
        <v>1.0548938749637133</v>
      </c>
      <c r="AY300" s="32">
        <f t="shared" si="293"/>
        <v>0.32402168806483339</v>
      </c>
      <c r="AZ300" s="32" t="str">
        <f t="shared" si="268"/>
        <v>1+6.38131589598737i</v>
      </c>
      <c r="BA300" s="32">
        <f t="shared" si="294"/>
        <v>6.4591944206983811</v>
      </c>
      <c r="BB300" s="32">
        <f t="shared" si="295"/>
        <v>1.4153530285984275</v>
      </c>
      <c r="BC300" s="60" t="str">
        <f t="shared" si="296"/>
        <v>-0.587979690419666+0.30570887544421i</v>
      </c>
      <c r="BD300" s="51">
        <f t="shared" si="297"/>
        <v>-3.5735939087430739</v>
      </c>
      <c r="BE300" s="63">
        <f t="shared" si="298"/>
        <v>152.52867986292935</v>
      </c>
      <c r="BF300" s="60" t="str">
        <f t="shared" si="299"/>
        <v>0.360784200369133+0.596535952147798i</v>
      </c>
      <c r="BG300" s="66">
        <f t="shared" si="300"/>
        <v>-3.1334551805929918</v>
      </c>
      <c r="BH300" s="63">
        <f t="shared" si="301"/>
        <v>58.834503515798531</v>
      </c>
      <c r="BI300" s="60" t="e">
        <f t="shared" si="255"/>
        <v>#NUM!</v>
      </c>
      <c r="BJ300" s="66" t="e">
        <f t="shared" si="302"/>
        <v>#NUM!</v>
      </c>
      <c r="BK300" s="63" t="e">
        <f t="shared" si="256"/>
        <v>#NUM!</v>
      </c>
      <c r="BL300" s="51">
        <f t="shared" si="303"/>
        <v>-3.1334551805929918</v>
      </c>
      <c r="BM300" s="63">
        <f t="shared" si="304"/>
        <v>58.834503515798531</v>
      </c>
    </row>
    <row r="301" spans="14:65" x14ac:dyDescent="0.3">
      <c r="N301" s="11">
        <v>83</v>
      </c>
      <c r="O301" s="52">
        <f t="shared" si="305"/>
        <v>6760.8297539198229</v>
      </c>
      <c r="P301" s="50" t="str">
        <f t="shared" si="257"/>
        <v>23.3035714285714</v>
      </c>
      <c r="Q301" s="18" t="str">
        <f t="shared" si="258"/>
        <v>1+22.7568997361633i</v>
      </c>
      <c r="R301" s="18">
        <f t="shared" si="269"/>
        <v>22.778860498317062</v>
      </c>
      <c r="S301" s="18">
        <f t="shared" si="270"/>
        <v>1.5268818611970822</v>
      </c>
      <c r="T301" s="18" t="str">
        <f t="shared" si="259"/>
        <v>1+0.0424795461741716i</v>
      </c>
      <c r="U301" s="18">
        <f t="shared" si="271"/>
        <v>1.0009018492555419</v>
      </c>
      <c r="V301" s="18">
        <f t="shared" si="272"/>
        <v>4.24540221887569E-2</v>
      </c>
      <c r="W301" s="32" t="str">
        <f t="shared" si="260"/>
        <v>1-0.103838890647975i</v>
      </c>
      <c r="X301" s="18">
        <f t="shared" si="273"/>
        <v>1.0053768026023886</v>
      </c>
      <c r="Y301" s="18">
        <f t="shared" si="274"/>
        <v>-0.10346807191707537</v>
      </c>
      <c r="Z301" s="32" t="str">
        <f t="shared" si="261"/>
        <v>0.999817164724154+0.050963773533808i</v>
      </c>
      <c r="AA301" s="18">
        <f t="shared" si="275"/>
        <v>1.0011152126952481</v>
      </c>
      <c r="AB301" s="18">
        <f t="shared" si="276"/>
        <v>5.0929014856743296E-2</v>
      </c>
      <c r="AC301" s="68" t="str">
        <f t="shared" si="277"/>
        <v>-0.0699009822279798-1.0259378941329i</v>
      </c>
      <c r="AD301" s="66">
        <f t="shared" si="278"/>
        <v>0.24253561871551479</v>
      </c>
      <c r="AE301" s="63">
        <f t="shared" si="279"/>
        <v>-93.897751608157193</v>
      </c>
      <c r="AF301" s="51" t="e">
        <f t="shared" si="280"/>
        <v>#NUM!</v>
      </c>
      <c r="AG301" s="51" t="str">
        <f t="shared" si="262"/>
        <v>1-31.8596596306288i</v>
      </c>
      <c r="AH301" s="51">
        <f t="shared" si="281"/>
        <v>31.875349594624343</v>
      </c>
      <c r="AI301" s="51">
        <f t="shared" si="282"/>
        <v>-1.5394189734078132</v>
      </c>
      <c r="AJ301" s="51" t="str">
        <f t="shared" si="263"/>
        <v>1+0.0424795461741716i</v>
      </c>
      <c r="AK301" s="51">
        <f t="shared" si="283"/>
        <v>1.0009018492555419</v>
      </c>
      <c r="AL301" s="51">
        <f t="shared" si="284"/>
        <v>4.24540221887569E-2</v>
      </c>
      <c r="AM301" s="51" t="e">
        <f t="shared" si="264"/>
        <v>#NUM!</v>
      </c>
      <c r="AN301" s="51" t="e">
        <f t="shared" si="285"/>
        <v>#NUM!</v>
      </c>
      <c r="AO301" s="51" t="e">
        <f t="shared" si="286"/>
        <v>#NUM!</v>
      </c>
      <c r="AP301" s="60" t="e">
        <f t="shared" si="287"/>
        <v>#NUM!</v>
      </c>
      <c r="AQ301" s="51" t="e">
        <f t="shared" si="288"/>
        <v>#NUM!</v>
      </c>
      <c r="AR301" s="63" t="e">
        <f t="shared" si="289"/>
        <v>#NUM!</v>
      </c>
      <c r="AS301" s="32" t="str">
        <f t="shared" si="265"/>
        <v>-0.000170731707317073</v>
      </c>
      <c r="AT301" s="32" t="str">
        <f t="shared" si="266"/>
        <v>0.00161422275461852i</v>
      </c>
      <c r="AU301" s="32">
        <f t="shared" si="290"/>
        <v>1.61422275461852E-3</v>
      </c>
      <c r="AV301" s="32">
        <f t="shared" si="291"/>
        <v>1.5707963267948966</v>
      </c>
      <c r="AW301" s="32" t="str">
        <f t="shared" si="267"/>
        <v>1+0.343681886204929i</v>
      </c>
      <c r="AX301" s="32">
        <f t="shared" si="292"/>
        <v>1.057410629275769</v>
      </c>
      <c r="AY301" s="32">
        <f t="shared" si="293"/>
        <v>0.33103515968525327</v>
      </c>
      <c r="AZ301" s="32" t="str">
        <f t="shared" si="268"/>
        <v>1+6.52995583789366i</v>
      </c>
      <c r="BA301" s="32">
        <f t="shared" si="294"/>
        <v>6.606082291709777</v>
      </c>
      <c r="BB301" s="32">
        <f t="shared" si="295"/>
        <v>1.4188365145942339</v>
      </c>
      <c r="BC301" s="60" t="str">
        <f t="shared" si="296"/>
        <v>-0.585184107822019+0.306884307569568i</v>
      </c>
      <c r="BD301" s="51">
        <f t="shared" si="297"/>
        <v>-3.5989794799331771</v>
      </c>
      <c r="BE301" s="63">
        <f t="shared" si="298"/>
        <v>152.32642658489718</v>
      </c>
      <c r="BF301" s="60" t="str">
        <f t="shared" si="299"/>
        <v>0.355749184171319+0.578911036729496i</v>
      </c>
      <c r="BG301" s="66">
        <f t="shared" si="300"/>
        <v>-3.3564438612176621</v>
      </c>
      <c r="BH301" s="63">
        <f t="shared" si="301"/>
        <v>58.428674976739984</v>
      </c>
      <c r="BI301" s="60" t="e">
        <f t="shared" si="255"/>
        <v>#NUM!</v>
      </c>
      <c r="BJ301" s="66" t="e">
        <f t="shared" si="302"/>
        <v>#NUM!</v>
      </c>
      <c r="BK301" s="63" t="e">
        <f t="shared" si="256"/>
        <v>#NUM!</v>
      </c>
      <c r="BL301" s="51">
        <f t="shared" si="303"/>
        <v>-3.3564438612176621</v>
      </c>
      <c r="BM301" s="63">
        <f t="shared" si="304"/>
        <v>58.428674976739984</v>
      </c>
    </row>
    <row r="302" spans="14:65" x14ac:dyDescent="0.3">
      <c r="N302" s="11">
        <v>84</v>
      </c>
      <c r="O302" s="52">
        <f t="shared" si="305"/>
        <v>6918.3097091893687</v>
      </c>
      <c r="P302" s="50" t="str">
        <f t="shared" si="257"/>
        <v>23.3035714285714</v>
      </c>
      <c r="Q302" s="18" t="str">
        <f t="shared" si="258"/>
        <v>1+23.2869760260517i</v>
      </c>
      <c r="R302" s="18">
        <f t="shared" si="269"/>
        <v>23.308437365853305</v>
      </c>
      <c r="S302" s="18">
        <f t="shared" si="270"/>
        <v>1.5278802352773488</v>
      </c>
      <c r="T302" s="18" t="str">
        <f t="shared" si="259"/>
        <v>1+0.0434690219152965i</v>
      </c>
      <c r="U302" s="18">
        <f t="shared" si="271"/>
        <v>1.0009443320516245</v>
      </c>
      <c r="V302" s="18">
        <f t="shared" si="272"/>
        <v>4.3441673865554337E-2</v>
      </c>
      <c r="W302" s="32" t="str">
        <f t="shared" si="260"/>
        <v>1-0.10625760912628i</v>
      </c>
      <c r="X302" s="18">
        <f t="shared" si="273"/>
        <v>1.0056294941464443</v>
      </c>
      <c r="Y302" s="18">
        <f t="shared" si="274"/>
        <v>-0.10586038973043978</v>
      </c>
      <c r="Z302" s="32" t="str">
        <f t="shared" si="261"/>
        <v>0.999808547963071+0.0521508723173291i</v>
      </c>
      <c r="AA302" s="18">
        <f t="shared" si="275"/>
        <v>1.0011677412219606</v>
      </c>
      <c r="AB302" s="18">
        <f t="shared" si="276"/>
        <v>5.2113630052486509E-2</v>
      </c>
      <c r="AC302" s="68" t="str">
        <f t="shared" si="277"/>
        <v>-0.0719267941373815-1.00261853287377i</v>
      </c>
      <c r="AD302" s="66">
        <f t="shared" si="278"/>
        <v>4.5008104844249136E-2</v>
      </c>
      <c r="AE302" s="63">
        <f t="shared" si="279"/>
        <v>-94.103309121645125</v>
      </c>
      <c r="AF302" s="51" t="e">
        <f t="shared" si="280"/>
        <v>#NUM!</v>
      </c>
      <c r="AG302" s="51" t="str">
        <f t="shared" si="262"/>
        <v>1-32.6017664364725i</v>
      </c>
      <c r="AH302" s="51">
        <f t="shared" si="281"/>
        <v>32.617099423129353</v>
      </c>
      <c r="AI302" s="51">
        <f t="shared" si="282"/>
        <v>-1.5401327563372766</v>
      </c>
      <c r="AJ302" s="51" t="str">
        <f t="shared" si="263"/>
        <v>1+0.0434690219152965i</v>
      </c>
      <c r="AK302" s="51">
        <f t="shared" si="283"/>
        <v>1.0009443320516245</v>
      </c>
      <c r="AL302" s="51">
        <f t="shared" si="284"/>
        <v>4.3441673865554337E-2</v>
      </c>
      <c r="AM302" s="51" t="e">
        <f t="shared" si="264"/>
        <v>#NUM!</v>
      </c>
      <c r="AN302" s="51" t="e">
        <f t="shared" si="285"/>
        <v>#NUM!</v>
      </c>
      <c r="AO302" s="51" t="e">
        <f t="shared" si="286"/>
        <v>#NUM!</v>
      </c>
      <c r="AP302" s="60" t="e">
        <f t="shared" si="287"/>
        <v>#NUM!</v>
      </c>
      <c r="AQ302" s="51" t="e">
        <f t="shared" si="288"/>
        <v>#NUM!</v>
      </c>
      <c r="AR302" s="63" t="e">
        <f t="shared" si="289"/>
        <v>#NUM!</v>
      </c>
      <c r="AS302" s="32" t="str">
        <f t="shared" si="265"/>
        <v>-0.000170731707317073</v>
      </c>
      <c r="AT302" s="32" t="str">
        <f t="shared" si="266"/>
        <v>0.00165182283278127i</v>
      </c>
      <c r="AU302" s="32">
        <f t="shared" si="290"/>
        <v>1.65182283278127E-3</v>
      </c>
      <c r="AV302" s="32">
        <f t="shared" si="291"/>
        <v>1.5707963267948966</v>
      </c>
      <c r="AW302" s="32" t="str">
        <f t="shared" si="267"/>
        <v>1+0.351687265727335i</v>
      </c>
      <c r="AX302" s="32">
        <f t="shared" si="292"/>
        <v>1.0600395902393311</v>
      </c>
      <c r="AY302" s="32">
        <f t="shared" si="293"/>
        <v>0.33817715993125658</v>
      </c>
      <c r="AZ302" s="32" t="str">
        <f t="shared" si="268"/>
        <v>1+6.68205804881938i</v>
      </c>
      <c r="BA302" s="32">
        <f t="shared" si="294"/>
        <v>6.7564709551504665</v>
      </c>
      <c r="BB302" s="32">
        <f t="shared" si="295"/>
        <v>1.4222443018462625</v>
      </c>
      <c r="BC302" s="60" t="str">
        <f t="shared" si="296"/>
        <v>-0.582285124621589+0.308141839166425i</v>
      </c>
      <c r="BD302" s="51">
        <f t="shared" si="297"/>
        <v>-3.6250290615590979</v>
      </c>
      <c r="BE302" s="63">
        <f t="shared" si="298"/>
        <v>152.11247194053948</v>
      </c>
      <c r="BF302" s="60" t="str">
        <f t="shared" si="299"/>
        <v>0.350830620989983+0.56164620273148i</v>
      </c>
      <c r="BG302" s="66">
        <f t="shared" si="300"/>
        <v>-3.5800209567148493</v>
      </c>
      <c r="BH302" s="63">
        <f t="shared" si="301"/>
        <v>58.009162818894325</v>
      </c>
      <c r="BI302" s="60" t="e">
        <f t="shared" si="255"/>
        <v>#NUM!</v>
      </c>
      <c r="BJ302" s="66" t="e">
        <f t="shared" si="302"/>
        <v>#NUM!</v>
      </c>
      <c r="BK302" s="63" t="e">
        <f t="shared" si="256"/>
        <v>#NUM!</v>
      </c>
      <c r="BL302" s="51">
        <f t="shared" si="303"/>
        <v>-3.5800209567148493</v>
      </c>
      <c r="BM302" s="63">
        <f t="shared" si="304"/>
        <v>58.009162818894325</v>
      </c>
    </row>
    <row r="303" spans="14:65" x14ac:dyDescent="0.3">
      <c r="N303" s="11">
        <v>85</v>
      </c>
      <c r="O303" s="52">
        <f t="shared" si="305"/>
        <v>7079.4578438413828</v>
      </c>
      <c r="P303" s="50" t="str">
        <f t="shared" si="257"/>
        <v>23.3035714285714</v>
      </c>
      <c r="Q303" s="18" t="str">
        <f t="shared" si="258"/>
        <v>1+23.8293993788686i</v>
      </c>
      <c r="R303" s="18">
        <f t="shared" si="269"/>
        <v>23.850372633517136</v>
      </c>
      <c r="S303" s="18">
        <f t="shared" si="270"/>
        <v>1.5288559663156971</v>
      </c>
      <c r="T303" s="18" t="str">
        <f t="shared" si="259"/>
        <v>1+0.0444815455072214i</v>
      </c>
      <c r="U303" s="18">
        <f t="shared" si="271"/>
        <v>1.0009888150677364</v>
      </c>
      <c r="V303" s="18">
        <f t="shared" si="272"/>
        <v>4.4452243107161914E-2</v>
      </c>
      <c r="W303" s="32" t="str">
        <f t="shared" si="260"/>
        <v>1-0.10873266679543i</v>
      </c>
      <c r="X303" s="18">
        <f t="shared" si="273"/>
        <v>1.0058940266392111</v>
      </c>
      <c r="Y303" s="18">
        <f t="shared" si="274"/>
        <v>-0.10830717312465822</v>
      </c>
      <c r="Z303" s="32" t="str">
        <f t="shared" si="261"/>
        <v>0.999799525106549+0.0533656221836512i</v>
      </c>
      <c r="AA303" s="18">
        <f t="shared" si="275"/>
        <v>1.0012227424675935</v>
      </c>
      <c r="AB303" s="18">
        <f t="shared" si="276"/>
        <v>5.3325718990299233E-2</v>
      </c>
      <c r="AC303" s="68" t="str">
        <f t="shared" si="277"/>
        <v>-0.0738615937975427-0.979822955142517i</v>
      </c>
      <c r="AD303" s="66">
        <f t="shared" si="278"/>
        <v>-0.15243872193674113</v>
      </c>
      <c r="AE303" s="63">
        <f t="shared" si="279"/>
        <v>-94.310950982035109</v>
      </c>
      <c r="AF303" s="51" t="e">
        <f t="shared" si="280"/>
        <v>#NUM!</v>
      </c>
      <c r="AG303" s="51" t="str">
        <f t="shared" si="262"/>
        <v>1-33.3611591304161i</v>
      </c>
      <c r="AH303" s="51">
        <f t="shared" si="281"/>
        <v>33.376143254200976</v>
      </c>
      <c r="AI303" s="51">
        <f t="shared" si="282"/>
        <v>-1.5408303217863033</v>
      </c>
      <c r="AJ303" s="51" t="str">
        <f t="shared" si="263"/>
        <v>1+0.0444815455072214i</v>
      </c>
      <c r="AK303" s="51">
        <f t="shared" si="283"/>
        <v>1.0009888150677364</v>
      </c>
      <c r="AL303" s="51">
        <f t="shared" si="284"/>
        <v>4.4452243107161914E-2</v>
      </c>
      <c r="AM303" s="51" t="e">
        <f t="shared" si="264"/>
        <v>#NUM!</v>
      </c>
      <c r="AN303" s="51" t="e">
        <f t="shared" si="285"/>
        <v>#NUM!</v>
      </c>
      <c r="AO303" s="51" t="e">
        <f t="shared" si="286"/>
        <v>#NUM!</v>
      </c>
      <c r="AP303" s="60" t="e">
        <f t="shared" si="287"/>
        <v>#NUM!</v>
      </c>
      <c r="AQ303" s="51" t="e">
        <f t="shared" si="288"/>
        <v>#NUM!</v>
      </c>
      <c r="AR303" s="63" t="e">
        <f t="shared" si="289"/>
        <v>#NUM!</v>
      </c>
      <c r="AS303" s="32" t="str">
        <f t="shared" si="265"/>
        <v>-0.000170731707317073</v>
      </c>
      <c r="AT303" s="32" t="str">
        <f t="shared" si="266"/>
        <v>0.00169029872927442i</v>
      </c>
      <c r="AU303" s="32">
        <f t="shared" si="290"/>
        <v>1.69029872927442E-3</v>
      </c>
      <c r="AV303" s="32">
        <f t="shared" si="291"/>
        <v>1.5707963267948966</v>
      </c>
      <c r="AW303" s="32" t="str">
        <f t="shared" si="267"/>
        <v>1+0.359879114493161i</v>
      </c>
      <c r="AX303" s="32">
        <f t="shared" si="292"/>
        <v>1.0627854802585428</v>
      </c>
      <c r="AY303" s="32">
        <f t="shared" si="293"/>
        <v>0.34544856025259396</v>
      </c>
      <c r="AZ303" s="32" t="str">
        <f t="shared" si="268"/>
        <v>1+6.83770317537008i</v>
      </c>
      <c r="BA303" s="32">
        <f t="shared" si="294"/>
        <v>6.9104402692206284</v>
      </c>
      <c r="BB303" s="32">
        <f t="shared" si="295"/>
        <v>1.4255778804474881</v>
      </c>
      <c r="BC303" s="60" t="str">
        <f t="shared" si="296"/>
        <v>-0.579280143021532+0.30947764954225i</v>
      </c>
      <c r="BD303" s="51">
        <f t="shared" si="297"/>
        <v>-3.6517835333195201</v>
      </c>
      <c r="BE303" s="63">
        <f t="shared" si="298"/>
        <v>151.88685137550218</v>
      </c>
      <c r="BF303" s="60" t="str">
        <f t="shared" si="299"/>
        <v>0.346019859743886+0.544733469150829i</v>
      </c>
      <c r="BG303" s="66">
        <f t="shared" si="300"/>
        <v>-3.8042222552562692</v>
      </c>
      <c r="BH303" s="63">
        <f t="shared" si="301"/>
        <v>57.575900393467073</v>
      </c>
      <c r="BI303" s="60" t="e">
        <f t="shared" si="255"/>
        <v>#NUM!</v>
      </c>
      <c r="BJ303" s="66" t="e">
        <f t="shared" si="302"/>
        <v>#NUM!</v>
      </c>
      <c r="BK303" s="63" t="e">
        <f t="shared" si="256"/>
        <v>#NUM!</v>
      </c>
      <c r="BL303" s="51">
        <f t="shared" si="303"/>
        <v>-3.8042222552562692</v>
      </c>
      <c r="BM303" s="63">
        <f t="shared" si="304"/>
        <v>57.575900393467073</v>
      </c>
    </row>
    <row r="304" spans="14:65" x14ac:dyDescent="0.3">
      <c r="N304" s="11">
        <v>86</v>
      </c>
      <c r="O304" s="52">
        <f t="shared" si="305"/>
        <v>7244.3596007499036</v>
      </c>
      <c r="P304" s="50" t="str">
        <f t="shared" si="257"/>
        <v>23.3035714285714</v>
      </c>
      <c r="Q304" s="18" t="str">
        <f t="shared" si="258"/>
        <v>1+24.3844573946556i</v>
      </c>
      <c r="R304" s="18">
        <f t="shared" si="269"/>
        <v>24.404953645351881</v>
      </c>
      <c r="S304" s="18">
        <f t="shared" si="270"/>
        <v>1.5298095642218388</v>
      </c>
      <c r="T304" s="18" t="str">
        <f t="shared" si="259"/>
        <v>1+0.0455176538033572i</v>
      </c>
      <c r="U304" s="18">
        <f t="shared" si="271"/>
        <v>1.0010353923851856</v>
      </c>
      <c r="V304" s="18">
        <f t="shared" si="272"/>
        <v>4.5486257469714762E-2</v>
      </c>
      <c r="W304" s="32" t="str">
        <f t="shared" si="260"/>
        <v>1-0.111265375963762i</v>
      </c>
      <c r="X304" s="18">
        <f t="shared" si="273"/>
        <v>1.0061709516222168</v>
      </c>
      <c r="Y304" s="18">
        <f t="shared" si="274"/>
        <v>-0.1108096021666362</v>
      </c>
      <c r="Z304" s="32" t="str">
        <f t="shared" si="261"/>
        <v>0.9997900770159+0.0546086672092327i</v>
      </c>
      <c r="AA304" s="18">
        <f t="shared" si="275"/>
        <v>1.001280332691014</v>
      </c>
      <c r="AB304" s="18">
        <f t="shared" si="276"/>
        <v>5.4565913097906024E-2</v>
      </c>
      <c r="AC304" s="68" t="str">
        <f t="shared" si="277"/>
        <v>-0.0757094409321086-0.957539595504733i</v>
      </c>
      <c r="AD304" s="66">
        <f t="shared" si="278"/>
        <v>-0.34979961265124754</v>
      </c>
      <c r="AE304" s="63">
        <f t="shared" si="279"/>
        <v>-94.520779969258527</v>
      </c>
      <c r="AF304" s="51" t="e">
        <f t="shared" si="280"/>
        <v>#NUM!</v>
      </c>
      <c r="AG304" s="51" t="str">
        <f t="shared" si="262"/>
        <v>1-34.138240352518i</v>
      </c>
      <c r="AH304" s="51">
        <f t="shared" si="281"/>
        <v>34.152883543945279</v>
      </c>
      <c r="AI304" s="51">
        <f t="shared" si="282"/>
        <v>-1.5415120368963056</v>
      </c>
      <c r="AJ304" s="51" t="str">
        <f t="shared" si="263"/>
        <v>1+0.0455176538033572i</v>
      </c>
      <c r="AK304" s="51">
        <f t="shared" si="283"/>
        <v>1.0010353923851856</v>
      </c>
      <c r="AL304" s="51">
        <f t="shared" si="284"/>
        <v>4.5486257469714762E-2</v>
      </c>
      <c r="AM304" s="51" t="e">
        <f t="shared" si="264"/>
        <v>#NUM!</v>
      </c>
      <c r="AN304" s="51" t="e">
        <f t="shared" si="285"/>
        <v>#NUM!</v>
      </c>
      <c r="AO304" s="51" t="e">
        <f t="shared" si="286"/>
        <v>#NUM!</v>
      </c>
      <c r="AP304" s="60" t="e">
        <f t="shared" si="287"/>
        <v>#NUM!</v>
      </c>
      <c r="AQ304" s="51" t="e">
        <f t="shared" si="288"/>
        <v>#NUM!</v>
      </c>
      <c r="AR304" s="63" t="e">
        <f t="shared" si="289"/>
        <v>#NUM!</v>
      </c>
      <c r="AS304" s="32" t="str">
        <f t="shared" si="265"/>
        <v>-0.000170731707317073</v>
      </c>
      <c r="AT304" s="32" t="str">
        <f t="shared" si="266"/>
        <v>0.00172967084452757i</v>
      </c>
      <c r="AU304" s="32">
        <f t="shared" si="290"/>
        <v>1.72967084452757E-3</v>
      </c>
      <c r="AV304" s="32">
        <f t="shared" si="291"/>
        <v>1.5707963267948966</v>
      </c>
      <c r="AW304" s="32" t="str">
        <f t="shared" si="267"/>
        <v>1+0.368261775929056i</v>
      </c>
      <c r="AX304" s="32">
        <f t="shared" si="292"/>
        <v>1.0656531966875633</v>
      </c>
      <c r="AY304" s="32">
        <f t="shared" si="293"/>
        <v>0.35285013938732784</v>
      </c>
      <c r="AZ304" s="32" t="str">
        <f t="shared" si="268"/>
        <v>1+6.99697374265207i</v>
      </c>
      <c r="BA304" s="32">
        <f t="shared" si="294"/>
        <v>7.0680719828933913</v>
      </c>
      <c r="BB304" s="32">
        <f t="shared" si="295"/>
        <v>1.4288387213899252</v>
      </c>
      <c r="BC304" s="60" t="str">
        <f t="shared" si="296"/>
        <v>-0.576166604781111+0.310887765704929i</v>
      </c>
      <c r="BD304" s="51">
        <f t="shared" si="297"/>
        <v>-3.6792841984267088</v>
      </c>
      <c r="BE304" s="63">
        <f t="shared" si="298"/>
        <v>151.649604553015</v>
      </c>
      <c r="BF304" s="60" t="str">
        <f t="shared" si="299"/>
        <v>0.341308596952197+0.528165198751288i</v>
      </c>
      <c r="BG304" s="66">
        <f t="shared" si="300"/>
        <v>-4.0290838110779532</v>
      </c>
      <c r="BH304" s="63">
        <f t="shared" si="301"/>
        <v>57.128824583756455</v>
      </c>
      <c r="BI304" s="60" t="e">
        <f t="shared" si="255"/>
        <v>#NUM!</v>
      </c>
      <c r="BJ304" s="66" t="e">
        <f t="shared" si="302"/>
        <v>#NUM!</v>
      </c>
      <c r="BK304" s="63" t="e">
        <f t="shared" si="256"/>
        <v>#NUM!</v>
      </c>
      <c r="BL304" s="51">
        <f t="shared" si="303"/>
        <v>-4.0290838110779532</v>
      </c>
      <c r="BM304" s="63">
        <f t="shared" si="304"/>
        <v>57.128824583756455</v>
      </c>
    </row>
    <row r="305" spans="14:65" x14ac:dyDescent="0.3">
      <c r="N305" s="11">
        <v>87</v>
      </c>
      <c r="O305" s="52">
        <f t="shared" si="305"/>
        <v>7413.1024130091773</v>
      </c>
      <c r="P305" s="50" t="str">
        <f t="shared" si="257"/>
        <v>23.3035714285714</v>
      </c>
      <c r="Q305" s="18" t="str">
        <f t="shared" si="258"/>
        <v>1+24.9524443725197i</v>
      </c>
      <c r="R305" s="18">
        <f t="shared" si="269"/>
        <v>24.972474450155914</v>
      </c>
      <c r="S305" s="18">
        <f t="shared" si="270"/>
        <v>1.5307415276648262</v>
      </c>
      <c r="T305" s="18" t="str">
        <f t="shared" si="259"/>
        <v>1+0.0465778961620368i</v>
      </c>
      <c r="U305" s="18">
        <f t="shared" si="271"/>
        <v>1.0010841625012761</v>
      </c>
      <c r="V305" s="18">
        <f t="shared" si="272"/>
        <v>4.6544256351853698E-2</v>
      </c>
      <c r="W305" s="32" t="str">
        <f t="shared" si="260"/>
        <v>1-0.113857079507201i</v>
      </c>
      <c r="X305" s="18">
        <f t="shared" si="273"/>
        <v>1.0064608460113633</v>
      </c>
      <c r="Y305" s="18">
        <f t="shared" si="274"/>
        <v>-0.11336887824457095</v>
      </c>
      <c r="Z305" s="32" t="str">
        <f t="shared" si="261"/>
        <v>0.999780183650457+0.0558806664729996i</v>
      </c>
      <c r="AA305" s="18">
        <f t="shared" si="275"/>
        <v>1.0013406336035746</v>
      </c>
      <c r="AB305" s="18">
        <f t="shared" si="276"/>
        <v>5.5834857905074274E-2</v>
      </c>
      <c r="AC305" s="68" t="str">
        <f t="shared" si="277"/>
        <v>-0.0774742147167585-0.935757125604227i</v>
      </c>
      <c r="AD305" s="66">
        <f t="shared" si="278"/>
        <v>-0.54706915110199628</v>
      </c>
      <c r="AE305" s="63">
        <f t="shared" si="279"/>
        <v>-94.732899570286321</v>
      </c>
      <c r="AF305" s="51" t="e">
        <f t="shared" si="280"/>
        <v>#NUM!</v>
      </c>
      <c r="AG305" s="51" t="str">
        <f t="shared" si="262"/>
        <v>1-34.9334221215277i</v>
      </c>
      <c r="AH305" s="51">
        <f t="shared" si="281"/>
        <v>34.947732131296313</v>
      </c>
      <c r="AI305" s="51">
        <f t="shared" si="282"/>
        <v>-1.5421782605856698</v>
      </c>
      <c r="AJ305" s="51" t="str">
        <f t="shared" si="263"/>
        <v>1+0.0465778961620368i</v>
      </c>
      <c r="AK305" s="51">
        <f t="shared" si="283"/>
        <v>1.0010841625012761</v>
      </c>
      <c r="AL305" s="51">
        <f t="shared" si="284"/>
        <v>4.6544256351853698E-2</v>
      </c>
      <c r="AM305" s="51" t="e">
        <f t="shared" si="264"/>
        <v>#NUM!</v>
      </c>
      <c r="AN305" s="51" t="e">
        <f t="shared" si="285"/>
        <v>#NUM!</v>
      </c>
      <c r="AO305" s="51" t="e">
        <f t="shared" si="286"/>
        <v>#NUM!</v>
      </c>
      <c r="AP305" s="60" t="e">
        <f t="shared" si="287"/>
        <v>#NUM!</v>
      </c>
      <c r="AQ305" s="51" t="e">
        <f t="shared" si="288"/>
        <v>#NUM!</v>
      </c>
      <c r="AR305" s="63" t="e">
        <f t="shared" si="289"/>
        <v>#NUM!</v>
      </c>
      <c r="AS305" s="32" t="str">
        <f t="shared" si="265"/>
        <v>-0.000170731707317073</v>
      </c>
      <c r="AT305" s="32" t="str">
        <f t="shared" si="266"/>
        <v>0.0017699600541574i</v>
      </c>
      <c r="AU305" s="32">
        <f t="shared" si="290"/>
        <v>1.7699600541574E-3</v>
      </c>
      <c r="AV305" s="32">
        <f t="shared" si="291"/>
        <v>1.5707963267948966</v>
      </c>
      <c r="AW305" s="32" t="str">
        <f t="shared" si="267"/>
        <v>1+0.376839694633068i</v>
      </c>
      <c r="AX305" s="32">
        <f t="shared" si="292"/>
        <v>1.0686478163787843</v>
      </c>
      <c r="AY305" s="32">
        <f t="shared" si="293"/>
        <v>0.36038257690837755</v>
      </c>
      <c r="AZ305" s="32" t="str">
        <f t="shared" si="268"/>
        <v>1+7.1599541980283i</v>
      </c>
      <c r="BA305" s="32">
        <f t="shared" si="294"/>
        <v>7.2294497797455568</v>
      </c>
      <c r="BB305" s="32">
        <f t="shared" si="295"/>
        <v>1.4320282760876508</v>
      </c>
      <c r="BC305" s="60" t="str">
        <f t="shared" si="296"/>
        <v>-0.572942002004166+0.312368057735197i</v>
      </c>
      <c r="BD305" s="51">
        <f t="shared" si="297"/>
        <v>-3.7075727833901384</v>
      </c>
      <c r="BE305" s="63">
        <f t="shared" si="298"/>
        <v>151.40077569631859</v>
      </c>
      <c r="BF305" s="60" t="str">
        <f t="shared" si="299"/>
        <v>0.336688867520383+0.511934090957716i</v>
      </c>
      <c r="BG305" s="66">
        <f t="shared" si="300"/>
        <v>-4.2546419344921382</v>
      </c>
      <c r="BH305" s="63">
        <f t="shared" si="301"/>
        <v>56.667876126032283</v>
      </c>
      <c r="BI305" s="60" t="e">
        <f t="shared" si="255"/>
        <v>#NUM!</v>
      </c>
      <c r="BJ305" s="66" t="e">
        <f t="shared" si="302"/>
        <v>#NUM!</v>
      </c>
      <c r="BK305" s="63" t="e">
        <f t="shared" si="256"/>
        <v>#NUM!</v>
      </c>
      <c r="BL305" s="51">
        <f t="shared" si="303"/>
        <v>-4.2546419344921382</v>
      </c>
      <c r="BM305" s="63">
        <f t="shared" si="304"/>
        <v>56.667876126032283</v>
      </c>
    </row>
    <row r="306" spans="14:65" x14ac:dyDescent="0.3">
      <c r="N306" s="11">
        <v>88</v>
      </c>
      <c r="O306" s="52">
        <f t="shared" si="305"/>
        <v>7585.7757502918394</v>
      </c>
      <c r="P306" s="50" t="str">
        <f t="shared" si="257"/>
        <v>23.3035714285714</v>
      </c>
      <c r="Q306" s="18" t="str">
        <f t="shared" si="258"/>
        <v>1+25.5336614666747i</v>
      </c>
      <c r="R306" s="18">
        <f t="shared" si="269"/>
        <v>25.553235957403686</v>
      </c>
      <c r="S306" s="18">
        <f t="shared" si="270"/>
        <v>1.5316523443046219</v>
      </c>
      <c r="T306" s="18" t="str">
        <f t="shared" si="259"/>
        <v>1+0.0476628347377929i</v>
      </c>
      <c r="U306" s="18">
        <f t="shared" si="271"/>
        <v>1.0011352285357069</v>
      </c>
      <c r="V306" s="18">
        <f t="shared" si="272"/>
        <v>4.7626791238933652E-2</v>
      </c>
      <c r="W306" s="32" t="str">
        <f t="shared" si="260"/>
        <v>1-0.116509151581272i</v>
      </c>
      <c r="X306" s="18">
        <f t="shared" si="273"/>
        <v>1.0067643132343278</v>
      </c>
      <c r="Y306" s="18">
        <f t="shared" si="274"/>
        <v>-0.11598622414397169</v>
      </c>
      <c r="Z306" s="32" t="str">
        <f t="shared" si="261"/>
        <v>0.999769824025065+0.0571822944057986i</v>
      </c>
      <c r="AA306" s="18">
        <f t="shared" si="275"/>
        <v>1.0014037726235212</v>
      </c>
      <c r="AB306" s="18">
        <f t="shared" si="276"/>
        <v>5.7133213329180373E-2</v>
      </c>
      <c r="AC306" s="68" t="str">
        <f t="shared" si="277"/>
        <v>-0.0791596216678249-0.914464450443843i</v>
      </c>
      <c r="AD306" s="66">
        <f t="shared" si="278"/>
        <v>-0.74424174386371167</v>
      </c>
      <c r="AE306" s="63">
        <f t="shared" si="279"/>
        <v>-94.947413999122276</v>
      </c>
      <c r="AF306" s="51" t="e">
        <f t="shared" si="280"/>
        <v>#NUM!</v>
      </c>
      <c r="AG306" s="51" t="str">
        <f t="shared" si="262"/>
        <v>1-35.7471260533448i</v>
      </c>
      <c r="AH306" s="51">
        <f t="shared" si="281"/>
        <v>35.761110456384358</v>
      </c>
      <c r="AI306" s="51">
        <f t="shared" si="282"/>
        <v>-1.5428293437280127</v>
      </c>
      <c r="AJ306" s="51" t="str">
        <f t="shared" si="263"/>
        <v>1+0.0476628347377929i</v>
      </c>
      <c r="AK306" s="51">
        <f t="shared" si="283"/>
        <v>1.0011352285357069</v>
      </c>
      <c r="AL306" s="51">
        <f t="shared" si="284"/>
        <v>4.7626791238933652E-2</v>
      </c>
      <c r="AM306" s="51" t="e">
        <f t="shared" si="264"/>
        <v>#NUM!</v>
      </c>
      <c r="AN306" s="51" t="e">
        <f t="shared" si="285"/>
        <v>#NUM!</v>
      </c>
      <c r="AO306" s="51" t="e">
        <f t="shared" si="286"/>
        <v>#NUM!</v>
      </c>
      <c r="AP306" s="60" t="e">
        <f t="shared" si="287"/>
        <v>#NUM!</v>
      </c>
      <c r="AQ306" s="51" t="e">
        <f t="shared" si="288"/>
        <v>#NUM!</v>
      </c>
      <c r="AR306" s="63" t="e">
        <f t="shared" si="289"/>
        <v>#NUM!</v>
      </c>
      <c r="AS306" s="32" t="str">
        <f t="shared" si="265"/>
        <v>-0.000170731707317073</v>
      </c>
      <c r="AT306" s="32" t="str">
        <f t="shared" si="266"/>
        <v>0.00181118772003613i</v>
      </c>
      <c r="AU306" s="32">
        <f t="shared" si="290"/>
        <v>1.81118772003613E-3</v>
      </c>
      <c r="AV306" s="32">
        <f t="shared" si="291"/>
        <v>1.5707963267948966</v>
      </c>
      <c r="AW306" s="32" t="str">
        <f t="shared" si="267"/>
        <v>1+0.385617418731238i</v>
      </c>
      <c r="AX306" s="32">
        <f t="shared" si="292"/>
        <v>1.0717746001977015</v>
      </c>
      <c r="AY306" s="32">
        <f t="shared" si="293"/>
        <v>0.36804644663981023</v>
      </c>
      <c r="AZ306" s="32" t="str">
        <f t="shared" si="268"/>
        <v>1+7.32673095589353i</v>
      </c>
      <c r="BA306" s="32">
        <f t="shared" si="294"/>
        <v>7.3946593227848245</v>
      </c>
      <c r="BB306" s="32">
        <f t="shared" si="295"/>
        <v>1.4351479759635353</v>
      </c>
      <c r="BC306" s="60" t="str">
        <f t="shared" si="296"/>
        <v>-0.569603888600272+0.313914234715418i</v>
      </c>
      <c r="BD306" s="51">
        <f t="shared" si="297"/>
        <v>-3.7366914340297344</v>
      </c>
      <c r="BE306" s="63">
        <f t="shared" si="298"/>
        <v>151.14041394220513</v>
      </c>
      <c r="BF306" s="60" t="str">
        <f t="shared" si="299"/>
        <v>0.332153036457654+0.496033174903306i</v>
      </c>
      <c r="BG306" s="66">
        <f t="shared" si="300"/>
        <v>-4.4809331778934478</v>
      </c>
      <c r="BH306" s="63">
        <f t="shared" si="301"/>
        <v>56.192999943082789</v>
      </c>
      <c r="BI306" s="60" t="e">
        <f t="shared" ref="BI306:BI369" si="306">IMPRODUCT(AP306,BC306)</f>
        <v>#NUM!</v>
      </c>
      <c r="BJ306" s="66" t="e">
        <f t="shared" si="302"/>
        <v>#NUM!</v>
      </c>
      <c r="BK306" s="63" t="e">
        <f t="shared" ref="BK306:BK369" si="307">(180/PI())*IMARGUMENT(BI306)</f>
        <v>#NUM!</v>
      </c>
      <c r="BL306" s="51">
        <f t="shared" si="303"/>
        <v>-4.4809331778934478</v>
      </c>
      <c r="BM306" s="63">
        <f t="shared" si="304"/>
        <v>56.192999943082789</v>
      </c>
    </row>
    <row r="307" spans="14:65" x14ac:dyDescent="0.3">
      <c r="N307" s="11">
        <v>89</v>
      </c>
      <c r="O307" s="52">
        <f t="shared" si="305"/>
        <v>7762.4711662869322</v>
      </c>
      <c r="P307" s="50" t="str">
        <f t="shared" si="257"/>
        <v>23.3035714285714</v>
      </c>
      <c r="Q307" s="18" t="str">
        <f t="shared" si="258"/>
        <v>1+26.1284168461174i</v>
      </c>
      <c r="R307" s="18">
        <f t="shared" si="269"/>
        <v>26.147546096803644</v>
      </c>
      <c r="S307" s="18">
        <f t="shared" si="270"/>
        <v>1.5325424910200045</v>
      </c>
      <c r="T307" s="18" t="str">
        <f t="shared" si="259"/>
        <v>1+0.0487730447794192i</v>
      </c>
      <c r="U307" s="18">
        <f t="shared" si="271"/>
        <v>1.0011886984465292</v>
      </c>
      <c r="V307" s="18">
        <f t="shared" si="272"/>
        <v>4.8734425950686486E-2</v>
      </c>
      <c r="W307" s="32" t="str">
        <f t="shared" si="260"/>
        <v>1-0.119222998349691i</v>
      </c>
      <c r="X307" s="18">
        <f t="shared" si="273"/>
        <v>1.0070819844161103</v>
      </c>
      <c r="Y307" s="18">
        <f t="shared" si="274"/>
        <v>-0.118662884097772</v>
      </c>
      <c r="Z307" s="32" t="str">
        <f t="shared" si="261"/>
        <v>0.99975897616557+0.0585142411479887i</v>
      </c>
      <c r="AA307" s="18">
        <f t="shared" si="275"/>
        <v>1.0014698831421511</v>
      </c>
      <c r="AB307" s="18">
        <f t="shared" si="276"/>
        <v>5.8461653964407154E-2</v>
      </c>
      <c r="AC307" s="68" t="str">
        <f t="shared" si="277"/>
        <v>-0.0807692031944264-0.893650704639932i</v>
      </c>
      <c r="AD307" s="66">
        <f t="shared" si="278"/>
        <v>-0.94131161003288577</v>
      </c>
      <c r="AE307" s="63">
        <f t="shared" si="279"/>
        <v>-95.164428215112139</v>
      </c>
      <c r="AF307" s="51" t="e">
        <f t="shared" si="280"/>
        <v>#NUM!</v>
      </c>
      <c r="AG307" s="51" t="str">
        <f t="shared" si="262"/>
        <v>1-36.5797835845645i</v>
      </c>
      <c r="AH307" s="51">
        <f t="shared" si="281"/>
        <v>36.593449783992419</v>
      </c>
      <c r="AI307" s="51">
        <f t="shared" si="282"/>
        <v>-1.5434656293269693</v>
      </c>
      <c r="AJ307" s="51" t="str">
        <f t="shared" si="263"/>
        <v>1+0.0487730447794192i</v>
      </c>
      <c r="AK307" s="51">
        <f t="shared" si="283"/>
        <v>1.0011886984465292</v>
      </c>
      <c r="AL307" s="51">
        <f t="shared" si="284"/>
        <v>4.8734425950686486E-2</v>
      </c>
      <c r="AM307" s="51" t="e">
        <f t="shared" si="264"/>
        <v>#NUM!</v>
      </c>
      <c r="AN307" s="51" t="e">
        <f t="shared" si="285"/>
        <v>#NUM!</v>
      </c>
      <c r="AO307" s="51" t="e">
        <f t="shared" si="286"/>
        <v>#NUM!</v>
      </c>
      <c r="AP307" s="60" t="e">
        <f t="shared" si="287"/>
        <v>#NUM!</v>
      </c>
      <c r="AQ307" s="51" t="e">
        <f t="shared" si="288"/>
        <v>#NUM!</v>
      </c>
      <c r="AR307" s="63" t="e">
        <f t="shared" si="289"/>
        <v>#NUM!</v>
      </c>
      <c r="AS307" s="32" t="str">
        <f t="shared" si="265"/>
        <v>-0.000170731707317073</v>
      </c>
      <c r="AT307" s="32" t="str">
        <f t="shared" si="266"/>
        <v>0.00185337570161793i</v>
      </c>
      <c r="AU307" s="32">
        <f t="shared" si="290"/>
        <v>1.85337570161793E-3</v>
      </c>
      <c r="AV307" s="32">
        <f t="shared" si="291"/>
        <v>1.5707963267948966</v>
      </c>
      <c r="AW307" s="32" t="str">
        <f t="shared" si="267"/>
        <v>1+0.394599602289069i</v>
      </c>
      <c r="AX307" s="32">
        <f t="shared" si="292"/>
        <v>1.0750389974911103</v>
      </c>
      <c r="AY307" s="32">
        <f t="shared" si="293"/>
        <v>0.3758422099632191</v>
      </c>
      <c r="AZ307" s="32" t="str">
        <f t="shared" si="268"/>
        <v>1+7.49739244349232i</v>
      </c>
      <c r="BA307" s="32">
        <f t="shared" si="294"/>
        <v>7.5637883002987154</v>
      </c>
      <c r="BB307" s="32">
        <f t="shared" si="295"/>
        <v>1.4381992320955166</v>
      </c>
      <c r="BC307" s="60" t="str">
        <f t="shared" si="296"/>
        <v>-0.566149892407708+0.315521841289912i</v>
      </c>
      <c r="BD307" s="51">
        <f t="shared" si="297"/>
        <v>-3.7666827075133638</v>
      </c>
      <c r="BE307" s="63">
        <f t="shared" si="298"/>
        <v>150.86857370426677</v>
      </c>
      <c r="BF307" s="60" t="str">
        <f t="shared" si="299"/>
        <v>0.327693791496399+0.480455802570545i</v>
      </c>
      <c r="BG307" s="66">
        <f t="shared" si="300"/>
        <v>-4.7079943175462597</v>
      </c>
      <c r="BH307" s="63">
        <f t="shared" si="301"/>
        <v>55.704145489154648</v>
      </c>
      <c r="BI307" s="60" t="e">
        <f t="shared" si="306"/>
        <v>#NUM!</v>
      </c>
      <c r="BJ307" s="66" t="e">
        <f t="shared" si="302"/>
        <v>#NUM!</v>
      </c>
      <c r="BK307" s="63" t="e">
        <f t="shared" si="307"/>
        <v>#NUM!</v>
      </c>
      <c r="BL307" s="51">
        <f t="shared" si="303"/>
        <v>-4.7079943175462597</v>
      </c>
      <c r="BM307" s="63">
        <f t="shared" si="304"/>
        <v>55.704145489154648</v>
      </c>
    </row>
    <row r="308" spans="14:65" x14ac:dyDescent="0.3">
      <c r="N308" s="11">
        <v>90</v>
      </c>
      <c r="O308" s="52">
        <f t="shared" si="305"/>
        <v>7943.2823472428154</v>
      </c>
      <c r="P308" s="50" t="str">
        <f t="shared" si="257"/>
        <v>23.3035714285714</v>
      </c>
      <c r="Q308" s="18" t="str">
        <f t="shared" si="258"/>
        <v>1+26.7370258580223i</v>
      </c>
      <c r="R308" s="18">
        <f t="shared" si="269"/>
        <v>26.755719981576895</v>
      </c>
      <c r="S308" s="18">
        <f t="shared" si="270"/>
        <v>1.5334124341327835</v>
      </c>
      <c r="T308" s="18" t="str">
        <f t="shared" si="259"/>
        <v>1+0.049909114934975i</v>
      </c>
      <c r="U308" s="18">
        <f t="shared" si="271"/>
        <v>1.0012446852561028</v>
      </c>
      <c r="V308" s="18">
        <f t="shared" si="272"/>
        <v>4.9867736892264272E-2</v>
      </c>
      <c r="W308" s="32" t="str">
        <f t="shared" si="260"/>
        <v>1-0.122000058729939i</v>
      </c>
      <c r="X308" s="18">
        <f t="shared" si="273"/>
        <v>1.0074145196144975</v>
      </c>
      <c r="Y308" s="18">
        <f t="shared" si="274"/>
        <v>-0.1214001238082504</v>
      </c>
      <c r="Z308" s="32" t="str">
        <f t="shared" si="261"/>
        <v>0.999747617062208+0.0598772129153629i</v>
      </c>
      <c r="AA308" s="18">
        <f t="shared" si="275"/>
        <v>1.0015391048022413</v>
      </c>
      <c r="AB308" s="18">
        <f t="shared" si="276"/>
        <v>5.9820869374449442E-2</v>
      </c>
      <c r="AC308" s="68" t="str">
        <f t="shared" si="277"/>
        <v>-0.0823063428275776-0.873305248658514i</v>
      </c>
      <c r="AD308" s="66">
        <f t="shared" si="278"/>
        <v>-1.1382727707227449</v>
      </c>
      <c r="AE308" s="63">
        <f t="shared" si="279"/>
        <v>-95.384047939433017</v>
      </c>
      <c r="AF308" s="51" t="e">
        <f t="shared" si="280"/>
        <v>#NUM!</v>
      </c>
      <c r="AG308" s="51" t="str">
        <f t="shared" si="262"/>
        <v>1-37.4318362012313i</v>
      </c>
      <c r="AH308" s="51">
        <f t="shared" si="281"/>
        <v>37.445191432222778</v>
      </c>
      <c r="AI308" s="51">
        <f t="shared" si="282"/>
        <v>-1.544087452687557</v>
      </c>
      <c r="AJ308" s="51" t="str">
        <f t="shared" si="263"/>
        <v>1+0.049909114934975i</v>
      </c>
      <c r="AK308" s="51">
        <f t="shared" si="283"/>
        <v>1.0012446852561028</v>
      </c>
      <c r="AL308" s="51">
        <f t="shared" si="284"/>
        <v>4.9867736892264272E-2</v>
      </c>
      <c r="AM308" s="51" t="e">
        <f t="shared" si="264"/>
        <v>#NUM!</v>
      </c>
      <c r="AN308" s="51" t="e">
        <f t="shared" si="285"/>
        <v>#NUM!</v>
      </c>
      <c r="AO308" s="51" t="e">
        <f t="shared" si="286"/>
        <v>#NUM!</v>
      </c>
      <c r="AP308" s="60" t="e">
        <f t="shared" si="287"/>
        <v>#NUM!</v>
      </c>
      <c r="AQ308" s="51" t="e">
        <f t="shared" si="288"/>
        <v>#NUM!</v>
      </c>
      <c r="AR308" s="63" t="e">
        <f t="shared" si="289"/>
        <v>#NUM!</v>
      </c>
      <c r="AS308" s="32" t="str">
        <f t="shared" si="265"/>
        <v>-0.000170731707317073</v>
      </c>
      <c r="AT308" s="32" t="str">
        <f t="shared" si="266"/>
        <v>0.00189654636752905i</v>
      </c>
      <c r="AU308" s="32">
        <f t="shared" si="290"/>
        <v>1.89654636752905E-3</v>
      </c>
      <c r="AV308" s="32">
        <f t="shared" si="291"/>
        <v>1.5707963267948966</v>
      </c>
      <c r="AW308" s="32" t="str">
        <f t="shared" si="267"/>
        <v>1+0.403791007779176i</v>
      </c>
      <c r="AX308" s="32">
        <f t="shared" si="292"/>
        <v>1.0784466504947394</v>
      </c>
      <c r="AY308" s="32">
        <f t="shared" si="293"/>
        <v>0.38377020903729403</v>
      </c>
      <c r="AZ308" s="32" t="str">
        <f t="shared" si="268"/>
        <v>1+7.67202914780436i</v>
      </c>
      <c r="BA308" s="32">
        <f t="shared" si="294"/>
        <v>7.7369264727512892</v>
      </c>
      <c r="BB308" s="32">
        <f t="shared" si="295"/>
        <v>1.4411834349184505</v>
      </c>
      <c r="BC308" s="60" t="str">
        <f t="shared" si="296"/>
        <v>-0.562577727960317+0.317186254935i</v>
      </c>
      <c r="BD308" s="51">
        <f t="shared" si="297"/>
        <v>-3.7975895602168568</v>
      </c>
      <c r="BE308" s="63">
        <f t="shared" si="298"/>
        <v>150.58531504430391</v>
      </c>
      <c r="BF308" s="60" t="str">
        <f t="shared" si="299"/>
        <v>0.323304136581735+0.465195641967251i</v>
      </c>
      <c r="BG308" s="66">
        <f t="shared" si="300"/>
        <v>-4.935862330939595</v>
      </c>
      <c r="BH308" s="63">
        <f t="shared" si="301"/>
        <v>55.201267104870837</v>
      </c>
      <c r="BI308" s="60" t="e">
        <f t="shared" si="306"/>
        <v>#NUM!</v>
      </c>
      <c r="BJ308" s="66" t="e">
        <f t="shared" si="302"/>
        <v>#NUM!</v>
      </c>
      <c r="BK308" s="63" t="e">
        <f t="shared" si="307"/>
        <v>#NUM!</v>
      </c>
      <c r="BL308" s="51">
        <f t="shared" si="303"/>
        <v>-4.935862330939595</v>
      </c>
      <c r="BM308" s="63">
        <f t="shared" si="304"/>
        <v>55.201267104870837</v>
      </c>
    </row>
    <row r="309" spans="14:65" x14ac:dyDescent="0.3">
      <c r="N309" s="11">
        <v>91</v>
      </c>
      <c r="O309" s="52">
        <f t="shared" si="305"/>
        <v>8128.3051616410066</v>
      </c>
      <c r="P309" s="50" t="str">
        <f t="shared" si="257"/>
        <v>23.3035714285714</v>
      </c>
      <c r="Q309" s="18" t="str">
        <f t="shared" si="258"/>
        <v>1+27.3598111949436i</v>
      </c>
      <c r="R309" s="18">
        <f t="shared" si="269"/>
        <v>27.378080075545132</v>
      </c>
      <c r="S309" s="18">
        <f t="shared" si="270"/>
        <v>1.5342626296283159</v>
      </c>
      <c r="T309" s="18" t="str">
        <f t="shared" si="259"/>
        <v>1+0.0510716475638948i</v>
      </c>
      <c r="U309" s="18">
        <f t="shared" si="271"/>
        <v>1.0013033072875024</v>
      </c>
      <c r="V309" s="18">
        <f t="shared" si="272"/>
        <v>5.1027313308575149E-2</v>
      </c>
      <c r="W309" s="32" t="str">
        <f t="shared" si="260"/>
        <v>1-0.124841805156187i</v>
      </c>
      <c r="X309" s="18">
        <f t="shared" si="273"/>
        <v>1.0077626091072518</v>
      </c>
      <c r="Y309" s="18">
        <f t="shared" si="274"/>
        <v>-0.12419923043828787</v>
      </c>
      <c r="Z309" s="32" t="str">
        <f t="shared" si="261"/>
        <v>0.999735722620797+0.0612719323735937i</v>
      </c>
      <c r="AA309" s="18">
        <f t="shared" si="275"/>
        <v>1.0016115837893058</v>
      </c>
      <c r="AB309" s="18">
        <f t="shared" si="276"/>
        <v>6.1211564388585028E-2</v>
      </c>
      <c r="AC309" s="68" t="str">
        <f t="shared" si="277"/>
        <v>-0.0837742731392192-0.853417665040019i</v>
      </c>
      <c r="AD309" s="66">
        <f t="shared" si="278"/>
        <v>-1.3351190382972491</v>
      </c>
      <c r="AE309" s="63">
        <f t="shared" si="279"/>
        <v>-95.606379669618633</v>
      </c>
      <c r="AF309" s="51" t="e">
        <f t="shared" si="280"/>
        <v>#NUM!</v>
      </c>
      <c r="AG309" s="51" t="str">
        <f t="shared" si="262"/>
        <v>1-38.3037356729212i</v>
      </c>
      <c r="AH309" s="51">
        <f t="shared" si="281"/>
        <v>38.316787006493854</v>
      </c>
      <c r="AI309" s="51">
        <f t="shared" si="282"/>
        <v>-1.5446951415841561</v>
      </c>
      <c r="AJ309" s="51" t="str">
        <f t="shared" si="263"/>
        <v>1+0.0510716475638948i</v>
      </c>
      <c r="AK309" s="51">
        <f t="shared" si="283"/>
        <v>1.0013033072875024</v>
      </c>
      <c r="AL309" s="51">
        <f t="shared" si="284"/>
        <v>5.1027313308575149E-2</v>
      </c>
      <c r="AM309" s="51" t="e">
        <f t="shared" si="264"/>
        <v>#NUM!</v>
      </c>
      <c r="AN309" s="51" t="e">
        <f t="shared" si="285"/>
        <v>#NUM!</v>
      </c>
      <c r="AO309" s="51" t="e">
        <f t="shared" si="286"/>
        <v>#NUM!</v>
      </c>
      <c r="AP309" s="60" t="e">
        <f t="shared" si="287"/>
        <v>#NUM!</v>
      </c>
      <c r="AQ309" s="51" t="e">
        <f t="shared" si="288"/>
        <v>#NUM!</v>
      </c>
      <c r="AR309" s="63" t="e">
        <f t="shared" si="289"/>
        <v>#NUM!</v>
      </c>
      <c r="AS309" s="32" t="str">
        <f t="shared" si="265"/>
        <v>-0.000170731707317073</v>
      </c>
      <c r="AT309" s="32" t="str">
        <f t="shared" si="266"/>
        <v>0.001940722607428i</v>
      </c>
      <c r="AU309" s="32">
        <f t="shared" si="290"/>
        <v>1.940722607428E-3</v>
      </c>
      <c r="AV309" s="32">
        <f t="shared" si="291"/>
        <v>1.5707963267948966</v>
      </c>
      <c r="AW309" s="32" t="str">
        <f t="shared" si="267"/>
        <v>1+0.413196508606416i</v>
      </c>
      <c r="AX309" s="32">
        <f t="shared" si="292"/>
        <v>1.0820033986658877</v>
      </c>
      <c r="AY309" s="32">
        <f t="shared" si="293"/>
        <v>0.39183065995646144</v>
      </c>
      <c r="AZ309" s="32" t="str">
        <f t="shared" si="268"/>
        <v>1+7.85073366352191i</v>
      </c>
      <c r="BA309" s="32">
        <f t="shared" si="294"/>
        <v>7.9141657207539042</v>
      </c>
      <c r="BB309" s="32">
        <f t="shared" si="295"/>
        <v>1.4441019539777618</v>
      </c>
      <c r="BC309" s="60" t="str">
        <f t="shared" si="296"/>
        <v>-0.558885209872267+0.318902684019218i</v>
      </c>
      <c r="BD309" s="51">
        <f t="shared" si="297"/>
        <v>-3.829455331215347</v>
      </c>
      <c r="BE309" s="63">
        <f t="shared" si="298"/>
        <v>150.29070405019016</v>
      </c>
      <c r="BF309" s="60" t="str">
        <f t="shared" si="299"/>
        <v>0.318977386195985+0.450246670278735i</v>
      </c>
      <c r="BG309" s="66">
        <f t="shared" si="300"/>
        <v>-5.1645743695126001</v>
      </c>
      <c r="BH309" s="63">
        <f t="shared" si="301"/>
        <v>54.68432438057156</v>
      </c>
      <c r="BI309" s="60" t="e">
        <f t="shared" si="306"/>
        <v>#NUM!</v>
      </c>
      <c r="BJ309" s="66" t="e">
        <f t="shared" si="302"/>
        <v>#NUM!</v>
      </c>
      <c r="BK309" s="63" t="e">
        <f t="shared" si="307"/>
        <v>#NUM!</v>
      </c>
      <c r="BL309" s="51">
        <f t="shared" si="303"/>
        <v>-5.1645743695126001</v>
      </c>
      <c r="BM309" s="63">
        <f t="shared" si="304"/>
        <v>54.68432438057156</v>
      </c>
    </row>
    <row r="310" spans="14:65" x14ac:dyDescent="0.3">
      <c r="N310" s="11">
        <v>92</v>
      </c>
      <c r="O310" s="52">
        <f t="shared" si="305"/>
        <v>8317.6377110267094</v>
      </c>
      <c r="P310" s="50" t="str">
        <f t="shared" si="257"/>
        <v>23.3035714285714</v>
      </c>
      <c r="Q310" s="18" t="str">
        <f t="shared" si="258"/>
        <v>1+27.9971030659103i</v>
      </c>
      <c r="R310" s="18">
        <f t="shared" si="269"/>
        <v>28.014956364113861</v>
      </c>
      <c r="S310" s="18">
        <f t="shared" si="270"/>
        <v>1.53509352337231</v>
      </c>
      <c r="T310" s="18" t="str">
        <f t="shared" si="259"/>
        <v>1+0.0522612590563659i</v>
      </c>
      <c r="U310" s="18">
        <f t="shared" si="271"/>
        <v>1.0013646884118477</v>
      </c>
      <c r="V310" s="18">
        <f t="shared" si="272"/>
        <v>5.2213757541807654E-2</v>
      </c>
      <c r="W310" s="32" t="str">
        <f t="shared" si="260"/>
        <v>1-0.127749744360006i</v>
      </c>
      <c r="X310" s="18">
        <f t="shared" si="273"/>
        <v>1.0081269747328692</v>
      </c>
      <c r="Y310" s="18">
        <f t="shared" si="274"/>
        <v>-0.12706151256939802</v>
      </c>
      <c r="Z310" s="32" t="str">
        <f t="shared" si="261"/>
        <v>0.999723267611632+0.0626991390213986i</v>
      </c>
      <c r="AA310" s="18">
        <f t="shared" si="275"/>
        <v>1.0016874731362588</v>
      </c>
      <c r="AB310" s="18">
        <f t="shared" si="276"/>
        <v>6.2634459400947307E-2</v>
      </c>
      <c r="AC310" s="68" t="str">
        <f t="shared" si="277"/>
        <v>-0.0851760823637276-0.83397775461944i</v>
      </c>
      <c r="AD310" s="66">
        <f t="shared" si="278"/>
        <v>-1.5318440053334301</v>
      </c>
      <c r="AE310" s="63">
        <f t="shared" si="279"/>
        <v>-95.831530691968354</v>
      </c>
      <c r="AF310" s="51" t="e">
        <f t="shared" si="280"/>
        <v>#NUM!</v>
      </c>
      <c r="AG310" s="51" t="str">
        <f t="shared" si="262"/>
        <v>1-39.1959442922745i</v>
      </c>
      <c r="AH310" s="51">
        <f t="shared" si="281"/>
        <v>39.208698638989361</v>
      </c>
      <c r="AI310" s="51">
        <f t="shared" si="282"/>
        <v>-1.5452890164251478</v>
      </c>
      <c r="AJ310" s="51" t="str">
        <f t="shared" si="263"/>
        <v>1+0.0522612590563659i</v>
      </c>
      <c r="AK310" s="51">
        <f t="shared" si="283"/>
        <v>1.0013646884118477</v>
      </c>
      <c r="AL310" s="51">
        <f t="shared" si="284"/>
        <v>5.2213757541807654E-2</v>
      </c>
      <c r="AM310" s="51" t="e">
        <f t="shared" si="264"/>
        <v>#NUM!</v>
      </c>
      <c r="AN310" s="51" t="e">
        <f t="shared" si="285"/>
        <v>#NUM!</v>
      </c>
      <c r="AO310" s="51" t="e">
        <f t="shared" si="286"/>
        <v>#NUM!</v>
      </c>
      <c r="AP310" s="60" t="e">
        <f t="shared" si="287"/>
        <v>#NUM!</v>
      </c>
      <c r="AQ310" s="51" t="e">
        <f t="shared" si="288"/>
        <v>#NUM!</v>
      </c>
      <c r="AR310" s="63" t="e">
        <f t="shared" si="289"/>
        <v>#NUM!</v>
      </c>
      <c r="AS310" s="32" t="str">
        <f t="shared" si="265"/>
        <v>-0.000170731707317073</v>
      </c>
      <c r="AT310" s="32" t="str">
        <f t="shared" si="266"/>
        <v>0.0019859278441419i</v>
      </c>
      <c r="AU310" s="32">
        <f t="shared" si="290"/>
        <v>1.9859278441418998E-3</v>
      </c>
      <c r="AV310" s="32">
        <f t="shared" si="291"/>
        <v>1.5707963267948966</v>
      </c>
      <c r="AW310" s="32" t="str">
        <f t="shared" si="267"/>
        <v>1+0.422821091691819i</v>
      </c>
      <c r="AX310" s="32">
        <f t="shared" si="292"/>
        <v>1.0857152829261738</v>
      </c>
      <c r="AY310" s="32">
        <f t="shared" si="293"/>
        <v>0.40002364587733769</v>
      </c>
      <c r="AZ310" s="32" t="str">
        <f t="shared" si="268"/>
        <v>1+8.03360074214457i</v>
      </c>
      <c r="BA310" s="32">
        <f t="shared" si="294"/>
        <v>8.0956000941366781</v>
      </c>
      <c r="BB310" s="32">
        <f t="shared" si="295"/>
        <v>1.4469561377313025</v>
      </c>
      <c r="BC310" s="60" t="str">
        <f t="shared" si="296"/>
        <v>-0.555070266806354+0.320666166735822i</v>
      </c>
      <c r="BD310" s="51">
        <f t="shared" si="297"/>
        <v>-3.8623237212228489</v>
      </c>
      <c r="BE310" s="63">
        <f t="shared" si="298"/>
        <v>149.98481321834655</v>
      </c>
      <c r="BF310" s="60" t="str">
        <f t="shared" si="299"/>
        <v>0.314707160479918+0.435603166938025i</v>
      </c>
      <c r="BG310" s="66">
        <f t="shared" si="300"/>
        <v>-5.3941677265562848</v>
      </c>
      <c r="BH310" s="63">
        <f t="shared" si="301"/>
        <v>54.153282526378156</v>
      </c>
      <c r="BI310" s="60" t="e">
        <f t="shared" si="306"/>
        <v>#NUM!</v>
      </c>
      <c r="BJ310" s="66" t="e">
        <f t="shared" si="302"/>
        <v>#NUM!</v>
      </c>
      <c r="BK310" s="63" t="e">
        <f t="shared" si="307"/>
        <v>#NUM!</v>
      </c>
      <c r="BL310" s="51">
        <f t="shared" si="303"/>
        <v>-5.3941677265562848</v>
      </c>
      <c r="BM310" s="63">
        <f t="shared" si="304"/>
        <v>54.153282526378156</v>
      </c>
    </row>
    <row r="311" spans="14:65" x14ac:dyDescent="0.3">
      <c r="N311" s="11">
        <v>93</v>
      </c>
      <c r="O311" s="52">
        <f t="shared" si="305"/>
        <v>8511.3803820237772</v>
      </c>
      <c r="P311" s="50" t="str">
        <f t="shared" si="257"/>
        <v>23.3035714285714</v>
      </c>
      <c r="Q311" s="18" t="str">
        <f t="shared" si="258"/>
        <v>1+28.649239371508i</v>
      </c>
      <c r="R311" s="18">
        <f t="shared" si="269"/>
        <v>28.66668652924443</v>
      </c>
      <c r="S311" s="18">
        <f t="shared" si="270"/>
        <v>1.5359055513239173</v>
      </c>
      <c r="T311" s="18" t="str">
        <f t="shared" si="259"/>
        <v>1+0.0534785801601484i</v>
      </c>
      <c r="U311" s="18">
        <f t="shared" si="271"/>
        <v>1.001428958307051</v>
      </c>
      <c r="V311" s="18">
        <f t="shared" si="272"/>
        <v>5.3427685292032366E-2</v>
      </c>
      <c r="W311" s="32" t="str">
        <f t="shared" si="260"/>
        <v>1-0.130725418169252i</v>
      </c>
      <c r="X311" s="18">
        <f t="shared" si="273"/>
        <v>1.0085083712867859</v>
      </c>
      <c r="Y311" s="18">
        <f t="shared" si="274"/>
        <v>-0.12998830012375703</v>
      </c>
      <c r="Z311" s="32" t="str">
        <f t="shared" si="261"/>
        <v>0.99971022561597+0.064159589582634i</v>
      </c>
      <c r="AA311" s="18">
        <f t="shared" si="275"/>
        <v>1.0017669330420853</v>
      </c>
      <c r="AB311" s="18">
        <f t="shared" si="276"/>
        <v>6.409029067282436E-2</v>
      </c>
      <c r="AC311" s="68" t="str">
        <f t="shared" si="277"/>
        <v>-0.0865147207339562-0.814975532747771i</v>
      </c>
      <c r="AD311" s="66">
        <f t="shared" si="278"/>
        <v>-1.7284410333058819</v>
      </c>
      <c r="AE311" s="63">
        <f t="shared" si="279"/>
        <v>-96.059609091678325</v>
      </c>
      <c r="AF311" s="51" t="e">
        <f t="shared" si="280"/>
        <v>#NUM!</v>
      </c>
      <c r="AG311" s="51" t="str">
        <f t="shared" si="262"/>
        <v>1-40.1089351201114i</v>
      </c>
      <c r="AH311" s="51">
        <f t="shared" si="281"/>
        <v>40.121399233692053</v>
      </c>
      <c r="AI311" s="51">
        <f t="shared" si="282"/>
        <v>-1.5458693904142575</v>
      </c>
      <c r="AJ311" s="51" t="str">
        <f t="shared" si="263"/>
        <v>1+0.0534785801601484i</v>
      </c>
      <c r="AK311" s="51">
        <f t="shared" si="283"/>
        <v>1.001428958307051</v>
      </c>
      <c r="AL311" s="51">
        <f t="shared" si="284"/>
        <v>5.3427685292032366E-2</v>
      </c>
      <c r="AM311" s="51" t="e">
        <f t="shared" si="264"/>
        <v>#NUM!</v>
      </c>
      <c r="AN311" s="51" t="e">
        <f t="shared" si="285"/>
        <v>#NUM!</v>
      </c>
      <c r="AO311" s="51" t="e">
        <f t="shared" si="286"/>
        <v>#NUM!</v>
      </c>
      <c r="AP311" s="60" t="e">
        <f t="shared" si="287"/>
        <v>#NUM!</v>
      </c>
      <c r="AQ311" s="51" t="e">
        <f t="shared" si="288"/>
        <v>#NUM!</v>
      </c>
      <c r="AR311" s="63" t="e">
        <f t="shared" si="289"/>
        <v>#NUM!</v>
      </c>
      <c r="AS311" s="32" t="str">
        <f t="shared" si="265"/>
        <v>-0.000170731707317073</v>
      </c>
      <c r="AT311" s="32" t="str">
        <f t="shared" si="266"/>
        <v>0.00203218604608564i</v>
      </c>
      <c r="AU311" s="32">
        <f t="shared" si="290"/>
        <v>2.0321860460856401E-3</v>
      </c>
      <c r="AV311" s="32">
        <f t="shared" si="291"/>
        <v>1.5707963267948966</v>
      </c>
      <c r="AW311" s="32" t="str">
        <f t="shared" si="267"/>
        <v>1+0.432669860116737i</v>
      </c>
      <c r="AX311" s="32">
        <f t="shared" si="292"/>
        <v>1.08958854979916</v>
      </c>
      <c r="AY311" s="32">
        <f t="shared" si="293"/>
        <v>0.4083491101447157</v>
      </c>
      <c r="AZ311" s="32" t="str">
        <f t="shared" si="268"/>
        <v>1+8.22072734221802i</v>
      </c>
      <c r="BA311" s="32">
        <f t="shared" si="294"/>
        <v>8.2813258621485808</v>
      </c>
      <c r="BB311" s="32">
        <f t="shared" si="295"/>
        <v>1.4497473133960204</v>
      </c>
      <c r="BC311" s="60" t="str">
        <f t="shared" si="296"/>
        <v>-0.551130955982086+0.322471570990622i</v>
      </c>
      <c r="BD311" s="51">
        <f t="shared" si="297"/>
        <v>-3.8962387668120084</v>
      </c>
      <c r="BE311" s="63">
        <f t="shared" si="298"/>
        <v>149.66772183880681</v>
      </c>
      <c r="BF311" s="60" t="str">
        <f t="shared" si="299"/>
        <v>0.310487381108721+0.421259706556395i</v>
      </c>
      <c r="BG311" s="66">
        <f t="shared" si="300"/>
        <v>-5.6246798001178924</v>
      </c>
      <c r="BH311" s="63">
        <f t="shared" si="301"/>
        <v>53.608112747128523</v>
      </c>
      <c r="BI311" s="60" t="e">
        <f t="shared" si="306"/>
        <v>#NUM!</v>
      </c>
      <c r="BJ311" s="66" t="e">
        <f t="shared" si="302"/>
        <v>#NUM!</v>
      </c>
      <c r="BK311" s="63" t="e">
        <f t="shared" si="307"/>
        <v>#NUM!</v>
      </c>
      <c r="BL311" s="51">
        <f t="shared" si="303"/>
        <v>-5.6246798001178924</v>
      </c>
      <c r="BM311" s="63">
        <f t="shared" si="304"/>
        <v>53.608112747128523</v>
      </c>
    </row>
    <row r="312" spans="14:65" x14ac:dyDescent="0.3">
      <c r="N312" s="11">
        <v>94</v>
      </c>
      <c r="O312" s="52">
        <f t="shared" si="305"/>
        <v>8709.6358995608189</v>
      </c>
      <c r="P312" s="50" t="str">
        <f t="shared" si="257"/>
        <v>23.3035714285714</v>
      </c>
      <c r="Q312" s="18" t="str">
        <f t="shared" si="258"/>
        <v>1+29.316565883038i</v>
      </c>
      <c r="R312" s="18">
        <f t="shared" si="269"/>
        <v>29.333616128505323</v>
      </c>
      <c r="S312" s="18">
        <f t="shared" si="270"/>
        <v>1.5366991397451188</v>
      </c>
      <c r="T312" s="18" t="str">
        <f t="shared" si="259"/>
        <v>1+0.0547242563150044i</v>
      </c>
      <c r="U312" s="18">
        <f t="shared" si="271"/>
        <v>1.0014962527285014</v>
      </c>
      <c r="V312" s="18">
        <f t="shared" si="272"/>
        <v>5.4669725880742946E-2</v>
      </c>
      <c r="W312" s="32" t="str">
        <f t="shared" si="260"/>
        <v>1-0.133770404325566i</v>
      </c>
      <c r="X312" s="18">
        <f t="shared" si="273"/>
        <v>1.008907587974947</v>
      </c>
      <c r="Y312" s="18">
        <f t="shared" si="274"/>
        <v>-0.13298094424734044</v>
      </c>
      <c r="Z312" s="32" t="str">
        <f t="shared" si="261"/>
        <v>0.999696568969988+0.0656540584075186i</v>
      </c>
      <c r="AA312" s="18">
        <f t="shared" si="275"/>
        <v>1.001850131205134</v>
      </c>
      <c r="AB312" s="18">
        <f t="shared" si="276"/>
        <v>6.5579810637775349E-2</v>
      </c>
      <c r="AC312" s="68" t="str">
        <f t="shared" si="277"/>
        <v>-0.0877930065434718-0.796401225520239i</v>
      </c>
      <c r="AD312" s="66">
        <f t="shared" si="278"/>
        <v>-1.9249032409866687</v>
      </c>
      <c r="AE312" s="63">
        <f t="shared" si="279"/>
        <v>-96.290723760524685</v>
      </c>
      <c r="AF312" s="51" t="e">
        <f t="shared" si="280"/>
        <v>#NUM!</v>
      </c>
      <c r="AG312" s="51" t="str">
        <f t="shared" si="262"/>
        <v>1-41.0431922362534i</v>
      </c>
      <c r="AH312" s="51">
        <f t="shared" si="281"/>
        <v>41.055372717124989</v>
      </c>
      <c r="AI312" s="51">
        <f t="shared" si="282"/>
        <v>-1.5464365697086428</v>
      </c>
      <c r="AJ312" s="51" t="str">
        <f t="shared" si="263"/>
        <v>1+0.0547242563150044i</v>
      </c>
      <c r="AK312" s="51">
        <f t="shared" si="283"/>
        <v>1.0014962527285014</v>
      </c>
      <c r="AL312" s="51">
        <f t="shared" si="284"/>
        <v>5.4669725880742946E-2</v>
      </c>
      <c r="AM312" s="51" t="e">
        <f t="shared" si="264"/>
        <v>#NUM!</v>
      </c>
      <c r="AN312" s="51" t="e">
        <f t="shared" si="285"/>
        <v>#NUM!</v>
      </c>
      <c r="AO312" s="51" t="e">
        <f t="shared" si="286"/>
        <v>#NUM!</v>
      </c>
      <c r="AP312" s="60" t="e">
        <f t="shared" si="287"/>
        <v>#NUM!</v>
      </c>
      <c r="AQ312" s="51" t="e">
        <f t="shared" si="288"/>
        <v>#NUM!</v>
      </c>
      <c r="AR312" s="63" t="e">
        <f t="shared" si="289"/>
        <v>#NUM!</v>
      </c>
      <c r="AS312" s="32" t="str">
        <f t="shared" si="265"/>
        <v>-0.000170731707317073</v>
      </c>
      <c r="AT312" s="32" t="str">
        <f t="shared" si="266"/>
        <v>0.00207952173997017i</v>
      </c>
      <c r="AU312" s="32">
        <f t="shared" si="290"/>
        <v>2.0795217399701702E-3</v>
      </c>
      <c r="AV312" s="32">
        <f t="shared" si="291"/>
        <v>1.5707963267948966</v>
      </c>
      <c r="AW312" s="32" t="str">
        <f t="shared" si="267"/>
        <v>1+0.442748035828551i</v>
      </c>
      <c r="AX312" s="32">
        <f t="shared" si="292"/>
        <v>1.0936296554273022</v>
      </c>
      <c r="AY312" s="32">
        <f t="shared" si="293"/>
        <v>0.41680684945164492</v>
      </c>
      <c r="AZ312" s="32" t="str">
        <f t="shared" si="268"/>
        <v>1+8.41221268074248i</v>
      </c>
      <c r="BA312" s="32">
        <f t="shared" si="294"/>
        <v>8.4714415648131904</v>
      </c>
      <c r="BB312" s="32">
        <f t="shared" si="295"/>
        <v>1.452476786836199</v>
      </c>
      <c r="BC312" s="60" t="str">
        <f t="shared" si="296"/>
        <v>-0.547065478170212+0.324313595328096i</v>
      </c>
      <c r="BD312" s="51">
        <f t="shared" si="297"/>
        <v>-3.9312448097596109</v>
      </c>
      <c r="BE312" s="63">
        <f t="shared" si="298"/>
        <v>149.33951638071321</v>
      </c>
      <c r="BF312" s="60" t="str">
        <f t="shared" si="299"/>
        <v>0.306312267876875+0.407211151657796i</v>
      </c>
      <c r="BG312" s="66">
        <f t="shared" si="300"/>
        <v>-5.8561480507462846</v>
      </c>
      <c r="BH312" s="63">
        <f t="shared" si="301"/>
        <v>53.048792620188571</v>
      </c>
      <c r="BI312" s="60" t="e">
        <f t="shared" si="306"/>
        <v>#NUM!</v>
      </c>
      <c r="BJ312" s="66" t="e">
        <f t="shared" si="302"/>
        <v>#NUM!</v>
      </c>
      <c r="BK312" s="63" t="e">
        <f t="shared" si="307"/>
        <v>#NUM!</v>
      </c>
      <c r="BL312" s="51">
        <f t="shared" si="303"/>
        <v>-5.8561480507462846</v>
      </c>
      <c r="BM312" s="63">
        <f t="shared" si="304"/>
        <v>53.048792620188571</v>
      </c>
    </row>
    <row r="313" spans="14:65" x14ac:dyDescent="0.3">
      <c r="N313" s="11">
        <v>95</v>
      </c>
      <c r="O313" s="52">
        <f t="shared" si="305"/>
        <v>8912.5093813374679</v>
      </c>
      <c r="P313" s="50" t="str">
        <f t="shared" si="257"/>
        <v>23.3035714285714</v>
      </c>
      <c r="Q313" s="18" t="str">
        <f t="shared" si="258"/>
        <v>1+29.9994364258498i</v>
      </c>
      <c r="R313" s="18">
        <f t="shared" si="269"/>
        <v>30.016098778299018</v>
      </c>
      <c r="S313" s="18">
        <f t="shared" si="270"/>
        <v>1.53747470540641</v>
      </c>
      <c r="T313" s="18" t="str">
        <f t="shared" si="259"/>
        <v>1+0.0559989479949198i</v>
      </c>
      <c r="U313" s="18">
        <f t="shared" si="271"/>
        <v>1.0015667137922155</v>
      </c>
      <c r="V313" s="18">
        <f t="shared" si="272"/>
        <v>5.5940522517193503E-2</v>
      </c>
      <c r="W313" s="32" t="str">
        <f t="shared" si="260"/>
        <v>1-0.136886317320915i</v>
      </c>
      <c r="X313" s="18">
        <f t="shared" si="273"/>
        <v>1.0093254499266737</v>
      </c>
      <c r="Y313" s="18">
        <f t="shared" si="274"/>
        <v>-0.13604081715108132</v>
      </c>
      <c r="Z313" s="32" t="str">
        <f t="shared" si="261"/>
        <v>0.99968226870611+0.0671833378832051i</v>
      </c>
      <c r="AA313" s="18">
        <f t="shared" si="275"/>
        <v>1.0019372431717088</v>
      </c>
      <c r="AB313" s="18">
        <f t="shared" si="276"/>
        <v>6.7103788209343943E-2</v>
      </c>
      <c r="AC313" s="68" t="str">
        <f t="shared" si="277"/>
        <v>-0.0890136319462032-0.778245266016466i</v>
      </c>
      <c r="AD313" s="66">
        <f t="shared" si="278"/>
        <v>-2.1212234925535176</v>
      </c>
      <c r="AE313" s="63">
        <f t="shared" si="279"/>
        <v>-96.524984401918175</v>
      </c>
      <c r="AF313" s="51" t="e">
        <f t="shared" si="280"/>
        <v>#NUM!</v>
      </c>
      <c r="AG313" s="51" t="str">
        <f t="shared" si="262"/>
        <v>1-41.99921099619i</v>
      </c>
      <c r="AH313" s="51">
        <f t="shared" si="281"/>
        <v>42.011114294939709</v>
      </c>
      <c r="AI313" s="51">
        <f t="shared" si="282"/>
        <v>-1.5469908535737791</v>
      </c>
      <c r="AJ313" s="51" t="str">
        <f t="shared" si="263"/>
        <v>1+0.0559989479949198i</v>
      </c>
      <c r="AK313" s="51">
        <f t="shared" si="283"/>
        <v>1.0015667137922155</v>
      </c>
      <c r="AL313" s="51">
        <f t="shared" si="284"/>
        <v>5.5940522517193503E-2</v>
      </c>
      <c r="AM313" s="51" t="e">
        <f t="shared" si="264"/>
        <v>#NUM!</v>
      </c>
      <c r="AN313" s="51" t="e">
        <f t="shared" si="285"/>
        <v>#NUM!</v>
      </c>
      <c r="AO313" s="51" t="e">
        <f t="shared" si="286"/>
        <v>#NUM!</v>
      </c>
      <c r="AP313" s="60" t="e">
        <f t="shared" si="287"/>
        <v>#NUM!</v>
      </c>
      <c r="AQ313" s="51" t="e">
        <f t="shared" si="288"/>
        <v>#NUM!</v>
      </c>
      <c r="AR313" s="63" t="e">
        <f t="shared" si="289"/>
        <v>#NUM!</v>
      </c>
      <c r="AS313" s="32" t="str">
        <f t="shared" si="265"/>
        <v>-0.000170731707317073</v>
      </c>
      <c r="AT313" s="32" t="str">
        <f t="shared" si="266"/>
        <v>0.00212796002380695i</v>
      </c>
      <c r="AU313" s="32">
        <f t="shared" si="290"/>
        <v>2.1279600238069498E-3</v>
      </c>
      <c r="AV313" s="32">
        <f t="shared" si="291"/>
        <v>1.5707963267948966</v>
      </c>
      <c r="AW313" s="32" t="str">
        <f t="shared" si="267"/>
        <v>1+0.453060962409424i</v>
      </c>
      <c r="AX313" s="32">
        <f t="shared" si="292"/>
        <v>1.0978452694525551</v>
      </c>
      <c r="AY313" s="32">
        <f t="shared" si="293"/>
        <v>0.42539650707117888</v>
      </c>
      <c r="AZ313" s="32" t="str">
        <f t="shared" si="268"/>
        <v>1+8.60815828577907i</v>
      </c>
      <c r="BA313" s="32">
        <f t="shared" si="294"/>
        <v>8.6660480654694521</v>
      </c>
      <c r="BB313" s="32">
        <f t="shared" si="295"/>
        <v>1.4551458424902237</v>
      </c>
      <c r="BC313" s="60" t="str">
        <f t="shared" si="296"/>
        <v>-0.542872193109854+0.326186770977679i</v>
      </c>
      <c r="BD313" s="51">
        <f t="shared" si="297"/>
        <v>-3.9673864613844376</v>
      </c>
      <c r="BE313" s="63">
        <f t="shared" si="298"/>
        <v>149.00029087591275</v>
      </c>
      <c r="BF313" s="60" t="str">
        <f t="shared" si="299"/>
        <v>0.302176335941885+0.393452645162193i</v>
      </c>
      <c r="BG313" s="66">
        <f t="shared" si="300"/>
        <v>-6.0886099539379526</v>
      </c>
      <c r="BH313" s="63">
        <f t="shared" si="301"/>
        <v>52.475306473994543</v>
      </c>
      <c r="BI313" s="60" t="e">
        <f t="shared" si="306"/>
        <v>#NUM!</v>
      </c>
      <c r="BJ313" s="66" t="e">
        <f t="shared" si="302"/>
        <v>#NUM!</v>
      </c>
      <c r="BK313" s="63" t="e">
        <f t="shared" si="307"/>
        <v>#NUM!</v>
      </c>
      <c r="BL313" s="51">
        <f t="shared" si="303"/>
        <v>-6.0886099539379526</v>
      </c>
      <c r="BM313" s="63">
        <f t="shared" si="304"/>
        <v>52.475306473994543</v>
      </c>
    </row>
    <row r="314" spans="14:65" x14ac:dyDescent="0.3">
      <c r="N314" s="11">
        <v>96</v>
      </c>
      <c r="O314" s="52">
        <f t="shared" si="305"/>
        <v>9120.1083935591087</v>
      </c>
      <c r="P314" s="50" t="str">
        <f t="shared" si="257"/>
        <v>23.3035714285714</v>
      </c>
      <c r="Q314" s="18" t="str">
        <f t="shared" si="258"/>
        <v>1+30.6982130669441i</v>
      </c>
      <c r="R314" s="18">
        <f t="shared" si="269"/>
        <v>30.714496341361315</v>
      </c>
      <c r="S314" s="18">
        <f t="shared" si="270"/>
        <v>1.5382326557888022</v>
      </c>
      <c r="T314" s="18" t="str">
        <f t="shared" si="259"/>
        <v>1+0.0573033310582958i</v>
      </c>
      <c r="U314" s="18">
        <f t="shared" si="271"/>
        <v>1.0016404902710236</v>
      </c>
      <c r="V314" s="18">
        <f t="shared" si="272"/>
        <v>5.7240732567361355E-2</v>
      </c>
      <c r="W314" s="32" t="str">
        <f t="shared" si="260"/>
        <v>1-0.140074809253612i</v>
      </c>
      <c r="X314" s="18">
        <f t="shared" si="273"/>
        <v>1.0097628197687989</v>
      </c>
      <c r="Y314" s="18">
        <f t="shared" si="274"/>
        <v>-0.13916931190679435</v>
      </c>
      <c r="Z314" s="32" t="str">
        <f t="shared" si="261"/>
        <v>0.999667294491559+0.0687482388539139i</v>
      </c>
      <c r="AA314" s="18">
        <f t="shared" si="275"/>
        <v>1.0020284527006147</v>
      </c>
      <c r="AB314" s="18">
        <f t="shared" si="276"/>
        <v>6.8663009091115709E-2</v>
      </c>
      <c r="AC314" s="68" t="str">
        <f t="shared" si="277"/>
        <v>-0.090179168504305-0.760498290557036i</v>
      </c>
      <c r="AD314" s="66">
        <f t="shared" si="278"/>
        <v>-2.3173943854023764</v>
      </c>
      <c r="AE314" s="63">
        <f t="shared" si="279"/>
        <v>-96.762501533139812</v>
      </c>
      <c r="AF314" s="51" t="e">
        <f t="shared" si="280"/>
        <v>#NUM!</v>
      </c>
      <c r="AG314" s="51" t="str">
        <f t="shared" si="262"/>
        <v>1-42.977498293722i</v>
      </c>
      <c r="AH314" s="51">
        <f t="shared" si="281"/>
        <v>42.989130714482677</v>
      </c>
      <c r="AI314" s="51">
        <f t="shared" si="282"/>
        <v>-1.547532534535184</v>
      </c>
      <c r="AJ314" s="51" t="str">
        <f t="shared" si="263"/>
        <v>1+0.0573033310582958i</v>
      </c>
      <c r="AK314" s="51">
        <f t="shared" si="283"/>
        <v>1.0016404902710236</v>
      </c>
      <c r="AL314" s="51">
        <f t="shared" si="284"/>
        <v>5.7240732567361355E-2</v>
      </c>
      <c r="AM314" s="51" t="e">
        <f t="shared" si="264"/>
        <v>#NUM!</v>
      </c>
      <c r="AN314" s="51" t="e">
        <f t="shared" si="285"/>
        <v>#NUM!</v>
      </c>
      <c r="AO314" s="51" t="e">
        <f t="shared" si="286"/>
        <v>#NUM!</v>
      </c>
      <c r="AP314" s="60" t="e">
        <f t="shared" si="287"/>
        <v>#NUM!</v>
      </c>
      <c r="AQ314" s="51" t="e">
        <f t="shared" si="288"/>
        <v>#NUM!</v>
      </c>
      <c r="AR314" s="63" t="e">
        <f t="shared" si="289"/>
        <v>#NUM!</v>
      </c>
      <c r="AS314" s="32" t="str">
        <f t="shared" si="265"/>
        <v>-0.000170731707317073</v>
      </c>
      <c r="AT314" s="32" t="str">
        <f t="shared" si="266"/>
        <v>0.00217752658021524i</v>
      </c>
      <c r="AU314" s="32">
        <f t="shared" si="290"/>
        <v>2.1775265802152399E-3</v>
      </c>
      <c r="AV314" s="32">
        <f t="shared" si="291"/>
        <v>1.5707963267948966</v>
      </c>
      <c r="AW314" s="32" t="str">
        <f t="shared" si="267"/>
        <v>1+0.463614107909538i</v>
      </c>
      <c r="AX314" s="32">
        <f t="shared" si="292"/>
        <v>1.1022422787449031</v>
      </c>
      <c r="AY314" s="32">
        <f t="shared" si="293"/>
        <v>0.43411756620014935</v>
      </c>
      <c r="AZ314" s="32" t="str">
        <f t="shared" si="268"/>
        <v>1+8.80866805028123i</v>
      </c>
      <c r="BA314" s="32">
        <f t="shared" si="294"/>
        <v>8.8652486045257266</v>
      </c>
      <c r="BB314" s="32">
        <f t="shared" si="295"/>
        <v>1.457755743332976</v>
      </c>
      <c r="BC314" s="60" t="str">
        <f t="shared" si="296"/>
        <v>-0.538549635273829+0.328085465099937i</v>
      </c>
      <c r="BD314" s="51">
        <f t="shared" si="297"/>
        <v>-4.0047085617638443</v>
      </c>
      <c r="BE314" s="63">
        <f t="shared" si="298"/>
        <v>148.65014729817582</v>
      </c>
      <c r="BF314" s="60" t="str">
        <f t="shared" si="299"/>
        <v>0.298074393672403+0.379979602564802i</v>
      </c>
      <c r="BG314" s="66">
        <f t="shared" si="300"/>
        <v>-6.3221029471662158</v>
      </c>
      <c r="BH314" s="63">
        <f t="shared" si="301"/>
        <v>51.887645765036019</v>
      </c>
      <c r="BI314" s="60" t="e">
        <f t="shared" si="306"/>
        <v>#NUM!</v>
      </c>
      <c r="BJ314" s="66" t="e">
        <f t="shared" si="302"/>
        <v>#NUM!</v>
      </c>
      <c r="BK314" s="63" t="e">
        <f t="shared" si="307"/>
        <v>#NUM!</v>
      </c>
      <c r="BL314" s="51">
        <f t="shared" si="303"/>
        <v>-6.3221029471662158</v>
      </c>
      <c r="BM314" s="63">
        <f t="shared" si="304"/>
        <v>51.887645765036019</v>
      </c>
    </row>
    <row r="315" spans="14:65" x14ac:dyDescent="0.3">
      <c r="N315" s="11">
        <v>97</v>
      </c>
      <c r="O315" s="52">
        <f t="shared" si="305"/>
        <v>9332.5430079699217</v>
      </c>
      <c r="P315" s="50" t="str">
        <f t="shared" si="257"/>
        <v>23.3035714285714</v>
      </c>
      <c r="Q315" s="18" t="str">
        <f t="shared" si="258"/>
        <v>1+31.4132663069454i</v>
      </c>
      <c r="R315" s="18">
        <f t="shared" si="269"/>
        <v>31.429179118632277</v>
      </c>
      <c r="S315" s="18">
        <f t="shared" si="270"/>
        <v>1.5389733892821582</v>
      </c>
      <c r="T315" s="18" t="str">
        <f t="shared" si="259"/>
        <v>1+0.0586380971062981i</v>
      </c>
      <c r="U315" s="18">
        <f t="shared" si="271"/>
        <v>1.0017177379043698</v>
      </c>
      <c r="V315" s="18">
        <f t="shared" si="272"/>
        <v>5.8571027825350779E-2</v>
      </c>
      <c r="W315" s="32" t="str">
        <f t="shared" si="260"/>
        <v>1-0.143337570704284i</v>
      </c>
      <c r="X315" s="18">
        <f t="shared" si="273"/>
        <v>1.0102205992630549</v>
      </c>
      <c r="Y315" s="18">
        <f t="shared" si="274"/>
        <v>-0.14236784219445237</v>
      </c>
      <c r="Z315" s="32" t="str">
        <f t="shared" si="261"/>
        <v>0.999651614564018+0.0703495910508535i</v>
      </c>
      <c r="AA315" s="18">
        <f t="shared" si="275"/>
        <v>1.0021239521443792</v>
      </c>
      <c r="AB315" s="18">
        <f t="shared" si="276"/>
        <v>7.0258276088843635E-2</v>
      </c>
      <c r="AC315" s="68" t="str">
        <f t="shared" si="277"/>
        <v>-0.0912920724946559-0.743151134980684i</v>
      </c>
      <c r="AD315" s="66">
        <f t="shared" si="278"/>
        <v>-2.5134082376598399</v>
      </c>
      <c r="AE315" s="63">
        <f t="shared" si="279"/>
        <v>-97.003386484557922</v>
      </c>
      <c r="AF315" s="51" t="e">
        <f t="shared" si="280"/>
        <v>#NUM!</v>
      </c>
      <c r="AG315" s="51" t="str">
        <f t="shared" si="262"/>
        <v>1-43.9785728297237i</v>
      </c>
      <c r="AH315" s="51">
        <f t="shared" si="281"/>
        <v>43.989940533482333</v>
      </c>
      <c r="AI315" s="51">
        <f t="shared" si="282"/>
        <v>-1.548061898527032</v>
      </c>
      <c r="AJ315" s="51" t="str">
        <f t="shared" si="263"/>
        <v>1+0.0586380971062981i</v>
      </c>
      <c r="AK315" s="51">
        <f t="shared" si="283"/>
        <v>1.0017177379043698</v>
      </c>
      <c r="AL315" s="51">
        <f t="shared" si="284"/>
        <v>5.8571027825350779E-2</v>
      </c>
      <c r="AM315" s="51" t="e">
        <f t="shared" si="264"/>
        <v>#NUM!</v>
      </c>
      <c r="AN315" s="51" t="e">
        <f t="shared" si="285"/>
        <v>#NUM!</v>
      </c>
      <c r="AO315" s="51" t="e">
        <f t="shared" si="286"/>
        <v>#NUM!</v>
      </c>
      <c r="AP315" s="60" t="e">
        <f t="shared" si="287"/>
        <v>#NUM!</v>
      </c>
      <c r="AQ315" s="51" t="e">
        <f t="shared" si="288"/>
        <v>#NUM!</v>
      </c>
      <c r="AR315" s="63" t="e">
        <f t="shared" si="289"/>
        <v>#NUM!</v>
      </c>
      <c r="AS315" s="32" t="str">
        <f t="shared" si="265"/>
        <v>-0.000170731707317073</v>
      </c>
      <c r="AT315" s="32" t="str">
        <f t="shared" si="266"/>
        <v>0.00222824769003933i</v>
      </c>
      <c r="AU315" s="32">
        <f t="shared" si="290"/>
        <v>2.22824769003933E-3</v>
      </c>
      <c r="AV315" s="32">
        <f t="shared" si="291"/>
        <v>1.5707963267948966</v>
      </c>
      <c r="AW315" s="32" t="str">
        <f t="shared" si="267"/>
        <v>1+0.474413067746323i</v>
      </c>
      <c r="AX315" s="32">
        <f t="shared" si="292"/>
        <v>1.1068277909632001</v>
      </c>
      <c r="AY315" s="32">
        <f t="shared" si="293"/>
        <v>0.44296934345811595</v>
      </c>
      <c r="AZ315" s="32" t="str">
        <f t="shared" si="268"/>
        <v>1+9.01384828718015i</v>
      </c>
      <c r="BA315" s="32">
        <f t="shared" si="294"/>
        <v>9.0691488544570991</v>
      </c>
      <c r="BB315" s="32">
        <f t="shared" si="295"/>
        <v>1.4603077308711336</v>
      </c>
      <c r="BC315" s="60" t="str">
        <f t="shared" si="296"/>
        <v>-0.53409652989667+0.330003885308796i</v>
      </c>
      <c r="BD315" s="51">
        <f t="shared" si="297"/>
        <v>-4.0432561337414166</v>
      </c>
      <c r="BE315" s="63">
        <f t="shared" si="298"/>
        <v>148.2891959354109</v>
      </c>
      <c r="BF315" s="60" t="str">
        <f t="shared" si="299"/>
        <v>0.294001541041738+0.366787703760826i</v>
      </c>
      <c r="BG315" s="66">
        <f t="shared" si="300"/>
        <v>-6.5566643714012649</v>
      </c>
      <c r="BH315" s="63">
        <f t="shared" si="301"/>
        <v>51.285809450852973</v>
      </c>
      <c r="BI315" s="60" t="e">
        <f t="shared" si="306"/>
        <v>#NUM!</v>
      </c>
      <c r="BJ315" s="66" t="e">
        <f t="shared" si="302"/>
        <v>#NUM!</v>
      </c>
      <c r="BK315" s="63" t="e">
        <f t="shared" si="307"/>
        <v>#NUM!</v>
      </c>
      <c r="BL315" s="51">
        <f t="shared" si="303"/>
        <v>-6.5566643714012649</v>
      </c>
      <c r="BM315" s="63">
        <f t="shared" si="304"/>
        <v>51.285809450852973</v>
      </c>
    </row>
    <row r="316" spans="14:65" x14ac:dyDescent="0.3">
      <c r="N316" s="11">
        <v>98</v>
      </c>
      <c r="O316" s="52">
        <f t="shared" si="305"/>
        <v>9549.9258602143691</v>
      </c>
      <c r="P316" s="50" t="str">
        <f t="shared" si="257"/>
        <v>23.3035714285714</v>
      </c>
      <c r="Q316" s="18" t="str">
        <f t="shared" si="258"/>
        <v>1+32.1449752765464i</v>
      </c>
      <c r="R316" s="18">
        <f t="shared" si="269"/>
        <v>32.160526045600982</v>
      </c>
      <c r="S316" s="18">
        <f t="shared" si="270"/>
        <v>1.5396972953798802</v>
      </c>
      <c r="T316" s="18" t="str">
        <f t="shared" si="259"/>
        <v>1+0.0600039538495533i</v>
      </c>
      <c r="U316" s="18">
        <f t="shared" si="271"/>
        <v>1.0017986197223367</v>
      </c>
      <c r="V316" s="18">
        <f t="shared" si="272"/>
        <v>5.9932094787029599E-2</v>
      </c>
      <c r="W316" s="32" t="str">
        <f t="shared" si="260"/>
        <v>1-0.146676331632241i</v>
      </c>
      <c r="X316" s="18">
        <f t="shared" si="273"/>
        <v>1.0106997310087162</v>
      </c>
      <c r="Y316" s="18">
        <f t="shared" si="274"/>
        <v>-0.14563784199719096</v>
      </c>
      <c r="Z316" s="32" t="str">
        <f t="shared" si="261"/>
        <v>0.999635195664258+0.0719882435321553i</v>
      </c>
      <c r="AA316" s="18">
        <f t="shared" si="275"/>
        <v>1.0022239428478867</v>
      </c>
      <c r="AB316" s="18">
        <f t="shared" si="276"/>
        <v>7.1890409424336221E-2</v>
      </c>
      <c r="AC316" s="68" t="str">
        <f t="shared" si="277"/>
        <v>-0.0923546899839956-0.726194830945918i</v>
      </c>
      <c r="AD316" s="66">
        <f t="shared" si="278"/>
        <v>-2.7092570753923146</v>
      </c>
      <c r="AE316" s="63">
        <f t="shared" si="279"/>
        <v>-97.247751395614173</v>
      </c>
      <c r="AF316" s="51" t="e">
        <f t="shared" si="280"/>
        <v>#NUM!</v>
      </c>
      <c r="AG316" s="51" t="str">
        <f t="shared" si="262"/>
        <v>1-45.0029653871651i</v>
      </c>
      <c r="AH316" s="51">
        <f t="shared" si="281"/>
        <v>45.014074394997607</v>
      </c>
      <c r="AI316" s="51">
        <f t="shared" si="282"/>
        <v>-1.5485792250377051</v>
      </c>
      <c r="AJ316" s="51" t="str">
        <f t="shared" si="263"/>
        <v>1+0.0600039538495533i</v>
      </c>
      <c r="AK316" s="51">
        <f t="shared" si="283"/>
        <v>1.0017986197223367</v>
      </c>
      <c r="AL316" s="51">
        <f t="shared" si="284"/>
        <v>5.9932094787029599E-2</v>
      </c>
      <c r="AM316" s="51" t="e">
        <f t="shared" si="264"/>
        <v>#NUM!</v>
      </c>
      <c r="AN316" s="51" t="e">
        <f t="shared" si="285"/>
        <v>#NUM!</v>
      </c>
      <c r="AO316" s="51" t="e">
        <f t="shared" si="286"/>
        <v>#NUM!</v>
      </c>
      <c r="AP316" s="60" t="e">
        <f t="shared" si="287"/>
        <v>#NUM!</v>
      </c>
      <c r="AQ316" s="51" t="e">
        <f t="shared" si="288"/>
        <v>#NUM!</v>
      </c>
      <c r="AR316" s="63" t="e">
        <f t="shared" si="289"/>
        <v>#NUM!</v>
      </c>
      <c r="AS316" s="32" t="str">
        <f t="shared" si="265"/>
        <v>-0.000170731707317073</v>
      </c>
      <c r="AT316" s="32" t="str">
        <f t="shared" si="266"/>
        <v>0.00228015024628303i</v>
      </c>
      <c r="AU316" s="32">
        <f t="shared" si="290"/>
        <v>2.2801502462830299E-3</v>
      </c>
      <c r="AV316" s="32">
        <f t="shared" si="291"/>
        <v>1.5707963267948966</v>
      </c>
      <c r="AW316" s="32" t="str">
        <f t="shared" si="267"/>
        <v>1+0.485463567671227i</v>
      </c>
      <c r="AX316" s="32">
        <f t="shared" si="292"/>
        <v>1.1116091379329678</v>
      </c>
      <c r="AY316" s="32">
        <f t="shared" si="293"/>
        <v>0.45195098258725136</v>
      </c>
      <c r="AZ316" s="32" t="str">
        <f t="shared" si="268"/>
        <v>1+9.22380778575334i</v>
      </c>
      <c r="BA316" s="32">
        <f t="shared" si="294"/>
        <v>9.2778569760760998</v>
      </c>
      <c r="BB316" s="32">
        <f t="shared" si="295"/>
        <v>1.4628030251687991</v>
      </c>
      <c r="BC316" s="60" t="str">
        <f t="shared" si="296"/>
        <v>-0.529511809168576+0.331936085541186i</v>
      </c>
      <c r="BD316" s="51">
        <f t="shared" si="297"/>
        <v>-4.0830743316668379</v>
      </c>
      <c r="BE316" s="63">
        <f t="shared" si="298"/>
        <v>147.91755575210124</v>
      </c>
      <c r="BF316" s="60" t="str">
        <f t="shared" si="299"/>
        <v>0.28995316850306+0.353872884468384i</v>
      </c>
      <c r="BG316" s="66">
        <f t="shared" si="300"/>
        <v>-6.7923314070591481</v>
      </c>
      <c r="BH316" s="63">
        <f t="shared" si="301"/>
        <v>50.669804356487028</v>
      </c>
      <c r="BI316" s="60" t="e">
        <f t="shared" si="306"/>
        <v>#NUM!</v>
      </c>
      <c r="BJ316" s="66" t="e">
        <f t="shared" si="302"/>
        <v>#NUM!</v>
      </c>
      <c r="BK316" s="63" t="e">
        <f t="shared" si="307"/>
        <v>#NUM!</v>
      </c>
      <c r="BL316" s="51">
        <f t="shared" si="303"/>
        <v>-6.7923314070591481</v>
      </c>
      <c r="BM316" s="63">
        <f t="shared" si="304"/>
        <v>50.669804356487028</v>
      </c>
    </row>
    <row r="317" spans="14:65" x14ac:dyDescent="0.3">
      <c r="N317" s="11">
        <v>99</v>
      </c>
      <c r="O317" s="52">
        <f t="shared" si="305"/>
        <v>9772.3722095581161</v>
      </c>
      <c r="P317" s="50" t="str">
        <f t="shared" si="257"/>
        <v>23.3035714285714</v>
      </c>
      <c r="Q317" s="18" t="str">
        <f t="shared" si="258"/>
        <v>1+32.893727937528i</v>
      </c>
      <c r="R317" s="18">
        <f t="shared" si="269"/>
        <v>32.908924893227827</v>
      </c>
      <c r="S317" s="18">
        <f t="shared" si="270"/>
        <v>1.5404047548699813</v>
      </c>
      <c r="T317" s="18" t="str">
        <f t="shared" si="259"/>
        <v>1+0.0614016254833857i</v>
      </c>
      <c r="U317" s="18">
        <f t="shared" si="271"/>
        <v>1.0018833063845318</v>
      </c>
      <c r="V317" s="18">
        <f t="shared" si="272"/>
        <v>6.1324634925667178E-2</v>
      </c>
      <c r="W317" s="32" t="str">
        <f t="shared" si="260"/>
        <v>1-0.150092862292721i</v>
      </c>
      <c r="X317" s="18">
        <f t="shared" si="273"/>
        <v>1.0112012002125104</v>
      </c>
      <c r="Y317" s="18">
        <f t="shared" si="274"/>
        <v>-0.1489807652402412</v>
      </c>
      <c r="Z317" s="32" t="str">
        <f t="shared" si="261"/>
        <v>0.999618002965591+0.0736650651330549i</v>
      </c>
      <c r="AA317" s="18">
        <f t="shared" si="275"/>
        <v>1.0023286355651888</v>
      </c>
      <c r="AB317" s="18">
        <f t="shared" si="276"/>
        <v>7.3560247050771313E-2</v>
      </c>
      <c r="AC317" s="68" t="str">
        <f t="shared" si="277"/>
        <v>-0.093369261682333-0.709620602260437i</v>
      </c>
      <c r="AD317" s="66">
        <f t="shared" si="278"/>
        <v>-2.9049326195111052</v>
      </c>
      <c r="AE317" s="63">
        <f t="shared" si="279"/>
        <v>-97.495709207356782</v>
      </c>
      <c r="AF317" s="51" t="e">
        <f t="shared" si="280"/>
        <v>#NUM!</v>
      </c>
      <c r="AG317" s="51" t="str">
        <f t="shared" si="262"/>
        <v>1-46.0512191125394i</v>
      </c>
      <c r="AH317" s="51">
        <f t="shared" si="281"/>
        <v>46.062075308773423</v>
      </c>
      <c r="AI317" s="51">
        <f t="shared" si="282"/>
        <v>-1.5490847872523288</v>
      </c>
      <c r="AJ317" s="51" t="str">
        <f t="shared" si="263"/>
        <v>1+0.0614016254833857i</v>
      </c>
      <c r="AK317" s="51">
        <f t="shared" si="283"/>
        <v>1.0018833063845318</v>
      </c>
      <c r="AL317" s="51">
        <f t="shared" si="284"/>
        <v>6.1324634925667178E-2</v>
      </c>
      <c r="AM317" s="51" t="e">
        <f t="shared" si="264"/>
        <v>#NUM!</v>
      </c>
      <c r="AN317" s="51" t="e">
        <f t="shared" si="285"/>
        <v>#NUM!</v>
      </c>
      <c r="AO317" s="51" t="e">
        <f t="shared" si="286"/>
        <v>#NUM!</v>
      </c>
      <c r="AP317" s="60" t="e">
        <f t="shared" si="287"/>
        <v>#NUM!</v>
      </c>
      <c r="AQ317" s="51" t="e">
        <f t="shared" si="288"/>
        <v>#NUM!</v>
      </c>
      <c r="AR317" s="63" t="e">
        <f t="shared" si="289"/>
        <v>#NUM!</v>
      </c>
      <c r="AS317" s="32" t="str">
        <f t="shared" si="265"/>
        <v>-0.000170731707317073</v>
      </c>
      <c r="AT317" s="32" t="str">
        <f t="shared" si="266"/>
        <v>0.00233326176836866i</v>
      </c>
      <c r="AU317" s="32">
        <f t="shared" si="290"/>
        <v>2.33326176836866E-3</v>
      </c>
      <c r="AV317" s="32">
        <f t="shared" si="291"/>
        <v>1.5707963267948966</v>
      </c>
      <c r="AW317" s="32" t="str">
        <f t="shared" si="267"/>
        <v>1+0.496771466805581i</v>
      </c>
      <c r="AX317" s="32">
        <f t="shared" si="292"/>
        <v>1.1165938788262133</v>
      </c>
      <c r="AY317" s="32">
        <f t="shared" si="293"/>
        <v>0.4610614484013133</v>
      </c>
      <c r="AZ317" s="32" t="str">
        <f t="shared" si="268"/>
        <v>1+9.43865786930605i</v>
      </c>
      <c r="BA317" s="32">
        <f t="shared" si="294"/>
        <v>9.4914836761073875</v>
      </c>
      <c r="BB317" s="32">
        <f t="shared" si="295"/>
        <v>1.4652428249010301</v>
      </c>
      <c r="BC317" s="60" t="str">
        <f t="shared" si="296"/>
        <v>-0.524794628487443+0.333875973339045i</v>
      </c>
      <c r="BD317" s="51">
        <f t="shared" si="297"/>
        <v>-4.1242083848397932</v>
      </c>
      <c r="BE317" s="63">
        <f t="shared" si="298"/>
        <v>147.53535473907132</v>
      </c>
      <c r="BF317" s="60" t="str">
        <f t="shared" si="299"/>
        <v>0.28592495627787+0.341231327206165i</v>
      </c>
      <c r="BG317" s="66">
        <f t="shared" si="300"/>
        <v>-7.0291410043508886</v>
      </c>
      <c r="BH317" s="63">
        <f t="shared" si="301"/>
        <v>50.039645531714527</v>
      </c>
      <c r="BI317" s="60" t="e">
        <f t="shared" si="306"/>
        <v>#NUM!</v>
      </c>
      <c r="BJ317" s="66" t="e">
        <f t="shared" si="302"/>
        <v>#NUM!</v>
      </c>
      <c r="BK317" s="63" t="e">
        <f t="shared" si="307"/>
        <v>#NUM!</v>
      </c>
      <c r="BL317" s="51">
        <f t="shared" si="303"/>
        <v>-7.0291410043508886</v>
      </c>
      <c r="BM317" s="63">
        <f t="shared" si="304"/>
        <v>50.039645531714527</v>
      </c>
    </row>
    <row r="318" spans="14:65" x14ac:dyDescent="0.3">
      <c r="N318" s="11">
        <v>100</v>
      </c>
      <c r="O318" s="52">
        <f t="shared" si="305"/>
        <v>10000</v>
      </c>
      <c r="P318" s="50" t="str">
        <f t="shared" si="257"/>
        <v>23.3035714285714</v>
      </c>
      <c r="Q318" s="18" t="str">
        <f t="shared" si="258"/>
        <v>1+33.659921288462i</v>
      </c>
      <c r="R318" s="18">
        <f t="shared" si="269"/>
        <v>33.674772473551435</v>
      </c>
      <c r="S318" s="18">
        <f t="shared" si="270"/>
        <v>1.5410961400225656</v>
      </c>
      <c r="T318" s="18" t="str">
        <f t="shared" si="259"/>
        <v>1+0.0628318530717959i</v>
      </c>
      <c r="U318" s="18">
        <f t="shared" si="271"/>
        <v>1.0019719765344917</v>
      </c>
      <c r="V318" s="18">
        <f t="shared" si="272"/>
        <v>6.2749364969321514E-2</v>
      </c>
      <c r="W318" s="32" t="str">
        <f t="shared" si="260"/>
        <v>1-0.153588974175501i</v>
      </c>
      <c r="X318" s="18">
        <f t="shared" si="273"/>
        <v>1.0117260365278156</v>
      </c>
      <c r="Y318" s="18">
        <f t="shared" si="274"/>
        <v>-0.15239808536980054</v>
      </c>
      <c r="Z318" s="32" t="str">
        <f t="shared" si="261"/>
        <v>0.9996+0.0753809449265603i</v>
      </c>
      <c r="AA318" s="18">
        <f t="shared" si="275"/>
        <v>1.0024382508952965</v>
      </c>
      <c r="AB318" s="18">
        <f t="shared" si="276"/>
        <v>7.5268644969067711E-2</v>
      </c>
      <c r="AC318" s="68" t="str">
        <f t="shared" si="277"/>
        <v>-0.094337927583896-0.693419861241512i</v>
      </c>
      <c r="AD318" s="66">
        <f t="shared" si="278"/>
        <v>-3.1004262723725065</v>
      </c>
      <c r="AE318" s="63">
        <f t="shared" si="279"/>
        <v>-97.747373651287162</v>
      </c>
      <c r="AF318" s="51" t="e">
        <f t="shared" si="280"/>
        <v>#NUM!</v>
      </c>
      <c r="AG318" s="51" t="str">
        <f t="shared" si="262"/>
        <v>1-47.123889803847i</v>
      </c>
      <c r="AH318" s="51">
        <f t="shared" si="281"/>
        <v>47.134498939154057</v>
      </c>
      <c r="AI318" s="51">
        <f t="shared" si="282"/>
        <v>-1.5495788521923426</v>
      </c>
      <c r="AJ318" s="51" t="str">
        <f t="shared" si="263"/>
        <v>1+0.0628318530717959i</v>
      </c>
      <c r="AK318" s="51">
        <f t="shared" si="283"/>
        <v>1.0019719765344917</v>
      </c>
      <c r="AL318" s="51">
        <f t="shared" si="284"/>
        <v>6.2749364969321514E-2</v>
      </c>
      <c r="AM318" s="51" t="e">
        <f t="shared" si="264"/>
        <v>#NUM!</v>
      </c>
      <c r="AN318" s="51" t="e">
        <f t="shared" si="285"/>
        <v>#NUM!</v>
      </c>
      <c r="AO318" s="51" t="e">
        <f t="shared" si="286"/>
        <v>#NUM!</v>
      </c>
      <c r="AP318" s="60" t="e">
        <f t="shared" si="287"/>
        <v>#NUM!</v>
      </c>
      <c r="AQ318" s="51" t="e">
        <f t="shared" si="288"/>
        <v>#NUM!</v>
      </c>
      <c r="AR318" s="63" t="e">
        <f t="shared" si="289"/>
        <v>#NUM!</v>
      </c>
      <c r="AS318" s="32" t="str">
        <f t="shared" si="265"/>
        <v>-0.000170731707317073</v>
      </c>
      <c r="AT318" s="32" t="str">
        <f t="shared" si="266"/>
        <v>0.00238761041672824i</v>
      </c>
      <c r="AU318" s="32">
        <f t="shared" si="290"/>
        <v>2.3876104167282401E-3</v>
      </c>
      <c r="AV318" s="32">
        <f t="shared" si="291"/>
        <v>1.5707963267948966</v>
      </c>
      <c r="AW318" s="32" t="str">
        <f t="shared" si="267"/>
        <v>1+0.508342760747182i</v>
      </c>
      <c r="AX318" s="32">
        <f t="shared" si="292"/>
        <v>1.1217898031289404</v>
      </c>
      <c r="AY318" s="32">
        <f t="shared" si="293"/>
        <v>0.47029952103403966</v>
      </c>
      <c r="AZ318" s="32" t="str">
        <f t="shared" si="268"/>
        <v>1+9.65851245419647i</v>
      </c>
      <c r="BA318" s="32">
        <f t="shared" si="294"/>
        <v>9.7101422660982841</v>
      </c>
      <c r="BB318" s="32">
        <f t="shared" si="295"/>
        <v>1.467628307432993</v>
      </c>
      <c r="BC318" s="60" t="str">
        <f t="shared" si="296"/>
        <v>-0.519944382649964+0.335817318600826i</v>
      </c>
      <c r="BD318" s="51">
        <f t="shared" si="297"/>
        <v>-4.1667035356654667</v>
      </c>
      <c r="BE318" s="63">
        <f t="shared" si="298"/>
        <v>147.14273024756446</v>
      </c>
      <c r="BF318" s="60" t="str">
        <f t="shared" si="299"/>
        <v>0.281912873984767+0.328859451786859i</v>
      </c>
      <c r="BG318" s="66">
        <f t="shared" si="300"/>
        <v>-7.2671298080379731</v>
      </c>
      <c r="BH318" s="63">
        <f t="shared" si="301"/>
        <v>49.395356596277338</v>
      </c>
      <c r="BI318" s="60" t="e">
        <f t="shared" si="306"/>
        <v>#NUM!</v>
      </c>
      <c r="BJ318" s="66" t="e">
        <f t="shared" si="302"/>
        <v>#NUM!</v>
      </c>
      <c r="BK318" s="63" t="e">
        <f t="shared" si="307"/>
        <v>#NUM!</v>
      </c>
      <c r="BL318" s="51">
        <f t="shared" si="303"/>
        <v>-7.2671298080379731</v>
      </c>
      <c r="BM318" s="63">
        <f t="shared" si="304"/>
        <v>49.395356596277338</v>
      </c>
    </row>
    <row r="319" spans="14:65" x14ac:dyDescent="0.3">
      <c r="N319" s="11">
        <v>1</v>
      </c>
      <c r="O319" s="52">
        <f>10^(4+(N319/100))</f>
        <v>10232.929922807549</v>
      </c>
      <c r="P319" s="50" t="str">
        <f t="shared" si="257"/>
        <v>23.3035714285714</v>
      </c>
      <c r="Q319" s="18" t="str">
        <f t="shared" si="258"/>
        <v>1+34.443961575205i</v>
      </c>
      <c r="R319" s="18">
        <f t="shared" si="269"/>
        <v>34.458474850088741</v>
      </c>
      <c r="S319" s="18">
        <f t="shared" si="270"/>
        <v>1.5417718147737491</v>
      </c>
      <c r="T319" s="18" t="str">
        <f t="shared" si="259"/>
        <v>1+0.0642953949403827i</v>
      </c>
      <c r="U319" s="18">
        <f t="shared" si="271"/>
        <v>1.0020648171702966</v>
      </c>
      <c r="V319" s="18">
        <f t="shared" si="272"/>
        <v>6.4207017179692599E-2</v>
      </c>
      <c r="W319" s="32" t="str">
        <f t="shared" si="260"/>
        <v>1-0.15716652096538i</v>
      </c>
      <c r="X319" s="18">
        <f t="shared" si="273"/>
        <v>1.0122753159651583</v>
      </c>
      <c r="Y319" s="18">
        <f t="shared" si="274"/>
        <v>-0.15589129486766165</v>
      </c>
      <c r="Z319" s="32" t="str">
        <f t="shared" si="261"/>
        <v>0.99958114858078+0.0771367926948506i</v>
      </c>
      <c r="AA319" s="18">
        <f t="shared" si="275"/>
        <v>1.0025530197377692</v>
      </c>
      <c r="AB319" s="18">
        <f t="shared" si="276"/>
        <v>7.7016477544911338E-2</v>
      </c>
      <c r="AC319" s="68" t="str">
        <f t="shared" si="277"/>
        <v>-0.0952627314045242-0.677584205110062i</v>
      </c>
      <c r="AD319" s="66">
        <f t="shared" si="278"/>
        <v>-3.2957291040750274</v>
      </c>
      <c r="AE319" s="63">
        <f t="shared" si="279"/>
        <v>-98.002859234275107</v>
      </c>
      <c r="AF319" s="51" t="e">
        <f t="shared" si="280"/>
        <v>#NUM!</v>
      </c>
      <c r="AG319" s="51" t="str">
        <f t="shared" si="262"/>
        <v>1-48.2215462052871i</v>
      </c>
      <c r="AH319" s="51">
        <f t="shared" si="281"/>
        <v>48.231913899705845</v>
      </c>
      <c r="AI319" s="51">
        <f t="shared" si="282"/>
        <v>-1.5500616808521537</v>
      </c>
      <c r="AJ319" s="51" t="str">
        <f t="shared" si="263"/>
        <v>1+0.0642953949403827i</v>
      </c>
      <c r="AK319" s="51">
        <f t="shared" si="283"/>
        <v>1.0020648171702966</v>
      </c>
      <c r="AL319" s="51">
        <f t="shared" si="284"/>
        <v>6.4207017179692599E-2</v>
      </c>
      <c r="AM319" s="51" t="e">
        <f t="shared" si="264"/>
        <v>#NUM!</v>
      </c>
      <c r="AN319" s="51" t="e">
        <f t="shared" si="285"/>
        <v>#NUM!</v>
      </c>
      <c r="AO319" s="51" t="e">
        <f t="shared" si="286"/>
        <v>#NUM!</v>
      </c>
      <c r="AP319" s="60" t="e">
        <f t="shared" si="287"/>
        <v>#NUM!</v>
      </c>
      <c r="AQ319" s="51" t="e">
        <f t="shared" si="288"/>
        <v>#NUM!</v>
      </c>
      <c r="AR319" s="63" t="e">
        <f t="shared" si="289"/>
        <v>#NUM!</v>
      </c>
      <c r="AS319" s="32" t="str">
        <f t="shared" si="265"/>
        <v>-0.000170731707317073</v>
      </c>
      <c r="AT319" s="32" t="str">
        <f t="shared" si="266"/>
        <v>0.00244322500773454i</v>
      </c>
      <c r="AU319" s="32">
        <f t="shared" si="290"/>
        <v>2.4432250077345398E-3</v>
      </c>
      <c r="AV319" s="32">
        <f t="shared" si="291"/>
        <v>1.5707963267948966</v>
      </c>
      <c r="AW319" s="32" t="str">
        <f t="shared" si="267"/>
        <v>1+0.520183584749243i</v>
      </c>
      <c r="AX319" s="32">
        <f t="shared" si="292"/>
        <v>1.1272049333828222</v>
      </c>
      <c r="AY319" s="32">
        <f t="shared" si="293"/>
        <v>0.47966379053915309</v>
      </c>
      <c r="AZ319" s="32" t="str">
        <f t="shared" si="268"/>
        <v>1+9.88348811023563i</v>
      </c>
      <c r="BA319" s="32">
        <f t="shared" si="294"/>
        <v>9.9339487226967851</v>
      </c>
      <c r="BB319" s="32">
        <f t="shared" si="295"/>
        <v>1.4699606289225846</v>
      </c>
      <c r="BC319" s="60" t="str">
        <f t="shared" si="296"/>
        <v>-0.514960721852146+0.337753763850067i</v>
      </c>
      <c r="BD319" s="51">
        <f t="shared" si="297"/>
        <v>-4.2106049725675962</v>
      </c>
      <c r="BE319" s="63">
        <f t="shared" si="298"/>
        <v>146.73982930451959</v>
      </c>
      <c r="BF319" s="60" t="str">
        <f t="shared" si="299"/>
        <v>0.27791318053096+0.316753905292574i</v>
      </c>
      <c r="BG319" s="66">
        <f t="shared" si="300"/>
        <v>-7.5063340766426281</v>
      </c>
      <c r="BH319" s="63">
        <f t="shared" si="301"/>
        <v>48.736970070244467</v>
      </c>
      <c r="BI319" s="60" t="e">
        <f t="shared" si="306"/>
        <v>#NUM!</v>
      </c>
      <c r="BJ319" s="66" t="e">
        <f t="shared" si="302"/>
        <v>#NUM!</v>
      </c>
      <c r="BK319" s="63" t="e">
        <f t="shared" si="307"/>
        <v>#NUM!</v>
      </c>
      <c r="BL319" s="51">
        <f t="shared" si="303"/>
        <v>-7.5063340766426281</v>
      </c>
      <c r="BM319" s="63">
        <f t="shared" si="304"/>
        <v>48.736970070244467</v>
      </c>
    </row>
    <row r="320" spans="14:65" x14ac:dyDescent="0.3">
      <c r="N320" s="11">
        <v>2</v>
      </c>
      <c r="O320" s="52">
        <f t="shared" ref="O320:O383" si="308">10^(4+(N320/100))</f>
        <v>10471.285480509003</v>
      </c>
      <c r="P320" s="50" t="str">
        <f t="shared" si="257"/>
        <v>23.3035714285714</v>
      </c>
      <c r="Q320" s="18" t="str">
        <f t="shared" si="258"/>
        <v>1+35.2462645062948i</v>
      </c>
      <c r="R320" s="18">
        <f t="shared" si="269"/>
        <v>35.260447553139436</v>
      </c>
      <c r="S320" s="18">
        <f t="shared" si="270"/>
        <v>1.542432134906055</v>
      </c>
      <c r="T320" s="18" t="str">
        <f t="shared" si="259"/>
        <v>1+0.0657930270784171i</v>
      </c>
      <c r="U320" s="18">
        <f t="shared" si="271"/>
        <v>1.002162024032113</v>
      </c>
      <c r="V320" s="18">
        <f t="shared" si="272"/>
        <v>6.5698339632133701E-2</v>
      </c>
      <c r="W320" s="32" t="str">
        <f t="shared" si="260"/>
        <v>1-0.16082739952502i</v>
      </c>
      <c r="X320" s="18">
        <f t="shared" si="273"/>
        <v>1.01285016287602</v>
      </c>
      <c r="Y320" s="18">
        <f t="shared" si="274"/>
        <v>-0.15946190469718913</v>
      </c>
      <c r="Z320" s="32" t="str">
        <f t="shared" si="261"/>
        <v>0.999561408721543+0.0789335394116539i</v>
      </c>
      <c r="AA320" s="18">
        <f t="shared" si="275"/>
        <v>1.0026731837689919</v>
      </c>
      <c r="AB320" s="18">
        <f t="shared" si="276"/>
        <v>7.8804637825991425E-2</v>
      </c>
      <c r="AC320" s="68" t="str">
        <f t="shared" si="277"/>
        <v>-0.0961456248240552-0.66210541242097i</v>
      </c>
      <c r="AD320" s="66">
        <f t="shared" si="278"/>
        <v>-3.4908318384565273</v>
      </c>
      <c r="AE320" s="63">
        <f t="shared" si="279"/>
        <v>-98.262281219284446</v>
      </c>
      <c r="AF320" s="51" t="e">
        <f t="shared" si="280"/>
        <v>#NUM!</v>
      </c>
      <c r="AG320" s="51" t="str">
        <f t="shared" si="262"/>
        <v>1-49.3447703088129i</v>
      </c>
      <c r="AH320" s="51">
        <f t="shared" si="281"/>
        <v>49.354902054704795</v>
      </c>
      <c r="AI320" s="51">
        <f t="shared" si="282"/>
        <v>-1.5505335283329227</v>
      </c>
      <c r="AJ320" s="51" t="str">
        <f t="shared" si="263"/>
        <v>1+0.0657930270784171i</v>
      </c>
      <c r="AK320" s="51">
        <f t="shared" si="283"/>
        <v>1.002162024032113</v>
      </c>
      <c r="AL320" s="51">
        <f t="shared" si="284"/>
        <v>6.5698339632133701E-2</v>
      </c>
      <c r="AM320" s="51" t="e">
        <f t="shared" si="264"/>
        <v>#NUM!</v>
      </c>
      <c r="AN320" s="51" t="e">
        <f t="shared" si="285"/>
        <v>#NUM!</v>
      </c>
      <c r="AO320" s="51" t="e">
        <f t="shared" si="286"/>
        <v>#NUM!</v>
      </c>
      <c r="AP320" s="60" t="e">
        <f t="shared" si="287"/>
        <v>#NUM!</v>
      </c>
      <c r="AQ320" s="51" t="e">
        <f t="shared" si="288"/>
        <v>#NUM!</v>
      </c>
      <c r="AR320" s="63" t="e">
        <f t="shared" si="289"/>
        <v>#NUM!</v>
      </c>
      <c r="AS320" s="32" t="str">
        <f t="shared" si="265"/>
        <v>-0.000170731707317073</v>
      </c>
      <c r="AT320" s="32" t="str">
        <f t="shared" si="266"/>
        <v>0.00250013502897985i</v>
      </c>
      <c r="AU320" s="32">
        <f t="shared" si="290"/>
        <v>2.5001350289798499E-3</v>
      </c>
      <c r="AV320" s="32">
        <f t="shared" si="291"/>
        <v>1.5707963267948966</v>
      </c>
      <c r="AW320" s="32" t="str">
        <f t="shared" si="267"/>
        <v>1+0.532300216973382i</v>
      </c>
      <c r="AX320" s="32">
        <f t="shared" si="292"/>
        <v>1.1328475276884835</v>
      </c>
      <c r="AY320" s="32">
        <f t="shared" si="293"/>
        <v>0.48915265189564</v>
      </c>
      <c r="AZ320" s="32" t="str">
        <f t="shared" si="268"/>
        <v>1+10.1137041224943i</v>
      </c>
      <c r="BA320" s="32">
        <f t="shared" si="294"/>
        <v>10.163021749330177</v>
      </c>
      <c r="BB320" s="32">
        <f t="shared" si="295"/>
        <v>1.4722409244445109</v>
      </c>
      <c r="BC320" s="60" t="str">
        <f t="shared" si="296"/>
        <v>-0.509843567359553+0.339678836057497i</v>
      </c>
      <c r="BD320" s="51">
        <f t="shared" si="297"/>
        <v>-4.2559577577455405</v>
      </c>
      <c r="BE320" s="63">
        <f t="shared" si="298"/>
        <v>146.32680890585698</v>
      </c>
      <c r="BF320" s="60" t="str">
        <f t="shared" si="299"/>
        <v>0.273922424184834+0.30491155150452i</v>
      </c>
      <c r="BG320" s="66">
        <f t="shared" si="300"/>
        <v>-7.7467895962020563</v>
      </c>
      <c r="BH320" s="63">
        <f t="shared" si="301"/>
        <v>48.064527686572546</v>
      </c>
      <c r="BI320" s="60" t="e">
        <f t="shared" si="306"/>
        <v>#NUM!</v>
      </c>
      <c r="BJ320" s="66" t="e">
        <f t="shared" si="302"/>
        <v>#NUM!</v>
      </c>
      <c r="BK320" s="63" t="e">
        <f t="shared" si="307"/>
        <v>#NUM!</v>
      </c>
      <c r="BL320" s="51">
        <f t="shared" si="303"/>
        <v>-7.7467895962020563</v>
      </c>
      <c r="BM320" s="63">
        <f t="shared" si="304"/>
        <v>48.064527686572546</v>
      </c>
    </row>
    <row r="321" spans="14:65" x14ac:dyDescent="0.3">
      <c r="N321" s="11">
        <v>3</v>
      </c>
      <c r="O321" s="52">
        <f t="shared" si="308"/>
        <v>10715.193052376071</v>
      </c>
      <c r="P321" s="50" t="str">
        <f t="shared" si="257"/>
        <v>23.3035714285714</v>
      </c>
      <c r="Q321" s="18" t="str">
        <f t="shared" si="258"/>
        <v>1+36.0672554733653i</v>
      </c>
      <c r="R321" s="18">
        <f t="shared" si="269"/>
        <v>36.081115800110716</v>
      </c>
      <c r="S321" s="18">
        <f t="shared" si="270"/>
        <v>1.5430774482253238</v>
      </c>
      <c r="T321" s="18" t="str">
        <f t="shared" si="259"/>
        <v>1+0.0673255435502821i</v>
      </c>
      <c r="U321" s="18">
        <f t="shared" si="271"/>
        <v>1.0022638020074062</v>
      </c>
      <c r="V321" s="18">
        <f t="shared" si="272"/>
        <v>6.7224096496482422E-2</v>
      </c>
      <c r="W321" s="32" t="str">
        <f t="shared" si="260"/>
        <v>1-0.16457355090069i</v>
      </c>
      <c r="X321" s="18">
        <f t="shared" si="273"/>
        <v>1.0134517520119357</v>
      </c>
      <c r="Y321" s="18">
        <f t="shared" si="274"/>
        <v>-0.16311144367607985</v>
      </c>
      <c r="Z321" s="32" t="str">
        <f t="shared" si="261"/>
        <v>0.999540738551401+0.0807721377358622i</v>
      </c>
      <c r="AA321" s="18">
        <f t="shared" si="275"/>
        <v>1.0027989959400143</v>
      </c>
      <c r="AB321" s="18">
        <f t="shared" si="276"/>
        <v>8.0634037858968374E-2</v>
      </c>
      <c r="AC321" s="68" t="str">
        <f t="shared" si="277"/>
        <v>-0.096988471541931-0.64697543953183i</v>
      </c>
      <c r="AD321" s="66">
        <f t="shared" si="278"/>
        <v>-3.6857248387969954</v>
      </c>
      <c r="AE321" s="63">
        <f t="shared" si="279"/>
        <v>-98.525755601641421</v>
      </c>
      <c r="AF321" s="51" t="e">
        <f t="shared" si="280"/>
        <v>#NUM!</v>
      </c>
      <c r="AG321" s="51" t="str">
        <f t="shared" si="262"/>
        <v>1-50.4941576627117i</v>
      </c>
      <c r="AH321" s="51">
        <f t="shared" si="281"/>
        <v>50.504058827650539</v>
      </c>
      <c r="AI321" s="51">
        <f t="shared" si="282"/>
        <v>-1.5509946439735305</v>
      </c>
      <c r="AJ321" s="51" t="str">
        <f t="shared" si="263"/>
        <v>1+0.0673255435502821i</v>
      </c>
      <c r="AK321" s="51">
        <f t="shared" si="283"/>
        <v>1.0022638020074062</v>
      </c>
      <c r="AL321" s="51">
        <f t="shared" si="284"/>
        <v>6.7224096496482422E-2</v>
      </c>
      <c r="AM321" s="51" t="e">
        <f t="shared" si="264"/>
        <v>#NUM!</v>
      </c>
      <c r="AN321" s="51" t="e">
        <f t="shared" si="285"/>
        <v>#NUM!</v>
      </c>
      <c r="AO321" s="51" t="e">
        <f t="shared" si="286"/>
        <v>#NUM!</v>
      </c>
      <c r="AP321" s="60" t="e">
        <f t="shared" si="287"/>
        <v>#NUM!</v>
      </c>
      <c r="AQ321" s="51" t="e">
        <f t="shared" si="288"/>
        <v>#NUM!</v>
      </c>
      <c r="AR321" s="63" t="e">
        <f t="shared" si="289"/>
        <v>#NUM!</v>
      </c>
      <c r="AS321" s="32" t="str">
        <f t="shared" si="265"/>
        <v>-0.000170731707317073</v>
      </c>
      <c r="AT321" s="32" t="str">
        <f t="shared" si="266"/>
        <v>0.00255837065491072i</v>
      </c>
      <c r="AU321" s="32">
        <f t="shared" si="290"/>
        <v>2.5583706549107202E-3</v>
      </c>
      <c r="AV321" s="32">
        <f t="shared" si="291"/>
        <v>1.5707963267948966</v>
      </c>
      <c r="AW321" s="32" t="str">
        <f t="shared" si="267"/>
        <v>1+0.544699081818387i</v>
      </c>
      <c r="AX321" s="32">
        <f t="shared" si="292"/>
        <v>1.1387260819590432</v>
      </c>
      <c r="AY321" s="32">
        <f t="shared" si="293"/>
        <v>0.49876430047305992</v>
      </c>
      <c r="AZ321" s="32" t="str">
        <f t="shared" si="268"/>
        <v>1+10.3492825545494i</v>
      </c>
      <c r="BA321" s="32">
        <f t="shared" si="294"/>
        <v>10.397482839317435</v>
      </c>
      <c r="BB321" s="32">
        <f t="shared" si="295"/>
        <v>1.4744703081339234</v>
      </c>
      <c r="BC321" s="60" t="str">
        <f t="shared" si="296"/>
        <v>-0.504593126698228+0.34158596004029i</v>
      </c>
      <c r="BD321" s="51">
        <f t="shared" si="297"/>
        <v>-4.3028067499077318</v>
      </c>
      <c r="BE321" s="63">
        <f t="shared" si="298"/>
        <v>145.90383628452673</v>
      </c>
      <c r="BF321" s="60" t="str">
        <f t="shared" si="299"/>
        <v>0.269937442743994+0.293329459765836i</v>
      </c>
      <c r="BG321" s="66">
        <f t="shared" si="300"/>
        <v>-7.9885315887047179</v>
      </c>
      <c r="BH321" s="63">
        <f t="shared" si="301"/>
        <v>47.37808068288534</v>
      </c>
      <c r="BI321" s="60" t="e">
        <f t="shared" si="306"/>
        <v>#NUM!</v>
      </c>
      <c r="BJ321" s="66" t="e">
        <f t="shared" si="302"/>
        <v>#NUM!</v>
      </c>
      <c r="BK321" s="63" t="e">
        <f t="shared" si="307"/>
        <v>#NUM!</v>
      </c>
      <c r="BL321" s="51">
        <f t="shared" si="303"/>
        <v>-7.9885315887047179</v>
      </c>
      <c r="BM321" s="63">
        <f t="shared" si="304"/>
        <v>47.37808068288534</v>
      </c>
    </row>
    <row r="322" spans="14:65" x14ac:dyDescent="0.3">
      <c r="N322" s="11">
        <v>4</v>
      </c>
      <c r="O322" s="52">
        <f t="shared" si="308"/>
        <v>10964.781961431856</v>
      </c>
      <c r="P322" s="50" t="str">
        <f t="shared" si="257"/>
        <v>23.3035714285714</v>
      </c>
      <c r="Q322" s="18" t="str">
        <f t="shared" si="258"/>
        <v>1+36.9073697766944i</v>
      </c>
      <c r="R322" s="18">
        <f t="shared" si="269"/>
        <v>36.920914720976988</v>
      </c>
      <c r="S322" s="18">
        <f t="shared" si="270"/>
        <v>1.5437080947341693</v>
      </c>
      <c r="T322" s="18" t="str">
        <f t="shared" si="259"/>
        <v>1+0.0688937569164964i</v>
      </c>
      <c r="U322" s="18">
        <f t="shared" si="271"/>
        <v>1.0023703655546035</v>
      </c>
      <c r="V322" s="18">
        <f t="shared" si="272"/>
        <v>6.8785068318340331E-2</v>
      </c>
      <c r="W322" s="32" t="str">
        <f t="shared" si="260"/>
        <v>1-0.168406961351436i</v>
      </c>
      <c r="X322" s="18">
        <f t="shared" si="273"/>
        <v>1.0140813106608484</v>
      </c>
      <c r="Y322" s="18">
        <f t="shared" si="274"/>
        <v>-0.16684145777110954</v>
      </c>
      <c r="Z322" s="32" t="str">
        <f t="shared" si="261"/>
        <v>0.999519094226153+0.0826535625166436i</v>
      </c>
      <c r="AA322" s="18">
        <f t="shared" si="275"/>
        <v>1.0029307209969003</v>
      </c>
      <c r="AB322" s="18">
        <f t="shared" si="276"/>
        <v>8.2505609005646907E-2</v>
      </c>
      <c r="AC322" s="68" t="str">
        <f t="shared" si="277"/>
        <v>-0.0977930511539213-0.632186417112179i</v>
      </c>
      <c r="AD322" s="66">
        <f t="shared" si="278"/>
        <v>-3.8803980932335813</v>
      </c>
      <c r="AE322" s="63">
        <f t="shared" si="279"/>
        <v>-98.793399080564257</v>
      </c>
      <c r="AF322" s="51" t="e">
        <f t="shared" si="280"/>
        <v>#NUM!</v>
      </c>
      <c r="AG322" s="51" t="str">
        <f t="shared" si="262"/>
        <v>1-51.6703176873724i</v>
      </c>
      <c r="AH322" s="51">
        <f t="shared" si="281"/>
        <v>51.679993516969304</v>
      </c>
      <c r="AI322" s="51">
        <f t="shared" si="282"/>
        <v>-1.5514452714787759</v>
      </c>
      <c r="AJ322" s="51" t="str">
        <f t="shared" si="263"/>
        <v>1+0.0688937569164964i</v>
      </c>
      <c r="AK322" s="51">
        <f t="shared" si="283"/>
        <v>1.0023703655546035</v>
      </c>
      <c r="AL322" s="51">
        <f t="shared" si="284"/>
        <v>6.8785068318340331E-2</v>
      </c>
      <c r="AM322" s="51" t="e">
        <f t="shared" si="264"/>
        <v>#NUM!</v>
      </c>
      <c r="AN322" s="51" t="e">
        <f t="shared" si="285"/>
        <v>#NUM!</v>
      </c>
      <c r="AO322" s="51" t="e">
        <f t="shared" si="286"/>
        <v>#NUM!</v>
      </c>
      <c r="AP322" s="60" t="e">
        <f t="shared" si="287"/>
        <v>#NUM!</v>
      </c>
      <c r="AQ322" s="51" t="e">
        <f t="shared" si="288"/>
        <v>#NUM!</v>
      </c>
      <c r="AR322" s="63" t="e">
        <f t="shared" si="289"/>
        <v>#NUM!</v>
      </c>
      <c r="AS322" s="32" t="str">
        <f t="shared" si="265"/>
        <v>-0.000170731707317073</v>
      </c>
      <c r="AT322" s="32" t="str">
        <f t="shared" si="266"/>
        <v>0.00261796276282686i</v>
      </c>
      <c r="AU322" s="32">
        <f t="shared" si="290"/>
        <v>2.61796276282686E-3</v>
      </c>
      <c r="AV322" s="32">
        <f t="shared" si="291"/>
        <v>1.5707963267948966</v>
      </c>
      <c r="AW322" s="32" t="str">
        <f t="shared" si="267"/>
        <v>1+0.557386753326516i</v>
      </c>
      <c r="AX322" s="32">
        <f t="shared" si="292"/>
        <v>1.1448493319139748</v>
      </c>
      <c r="AY322" s="32">
        <f t="shared" si="293"/>
        <v>0.50849672801222034</v>
      </c>
      <c r="AZ322" s="32" t="str">
        <f t="shared" si="268"/>
        <v>1+10.5903483132038i</v>
      </c>
      <c r="BA322" s="32">
        <f t="shared" si="294"/>
        <v>10.637456340449937</v>
      </c>
      <c r="BB322" s="32">
        <f t="shared" si="295"/>
        <v>1.4766498733478421</v>
      </c>
      <c r="BC322" s="60" t="str">
        <f t="shared" si="296"/>
        <v>-0.499209908209191+0.343468473447702i</v>
      </c>
      <c r="BD322" s="51">
        <f t="shared" si="297"/>
        <v>-4.3511965221591797</v>
      </c>
      <c r="BE322" s="63">
        <f t="shared" si="298"/>
        <v>145.47108915004691</v>
      </c>
      <c r="BF322" s="60" t="str">
        <f t="shared" si="299"/>
        <v>0.265955363709938+0.282004893264038i</v>
      </c>
      <c r="BG322" s="66">
        <f t="shared" si="300"/>
        <v>-8.2315946153927619</v>
      </c>
      <c r="BH322" s="63">
        <f t="shared" si="301"/>
        <v>46.677690069482665</v>
      </c>
      <c r="BI322" s="60" t="e">
        <f t="shared" si="306"/>
        <v>#NUM!</v>
      </c>
      <c r="BJ322" s="66" t="e">
        <f t="shared" si="302"/>
        <v>#NUM!</v>
      </c>
      <c r="BK322" s="63" t="e">
        <f t="shared" si="307"/>
        <v>#NUM!</v>
      </c>
      <c r="BL322" s="51">
        <f t="shared" si="303"/>
        <v>-8.2315946153927619</v>
      </c>
      <c r="BM322" s="63">
        <f t="shared" si="304"/>
        <v>46.677690069482665</v>
      </c>
    </row>
    <row r="323" spans="14:65" x14ac:dyDescent="0.3">
      <c r="N323" s="11">
        <v>5</v>
      </c>
      <c r="O323" s="52">
        <f t="shared" si="308"/>
        <v>11220.184543019639</v>
      </c>
      <c r="P323" s="50" t="str">
        <f t="shared" si="257"/>
        <v>23.3035714285714</v>
      </c>
      <c r="Q323" s="18" t="str">
        <f t="shared" si="258"/>
        <v>1+37.7670528560059i</v>
      </c>
      <c r="R323" s="18">
        <f t="shared" si="269"/>
        <v>37.780289588995259</v>
      </c>
      <c r="S323" s="18">
        <f t="shared" si="270"/>
        <v>1.5443244068020285</v>
      </c>
      <c r="T323" s="18" t="str">
        <f t="shared" si="259"/>
        <v>1+0.0704984986645445i</v>
      </c>
      <c r="U323" s="18">
        <f t="shared" si="271"/>
        <v>1.0024819391460151</v>
      </c>
      <c r="V323" s="18">
        <f t="shared" si="272"/>
        <v>7.0382052300395292E-2</v>
      </c>
      <c r="W323" s="32" t="str">
        <f t="shared" si="260"/>
        <v>1-0.17232966340222i</v>
      </c>
      <c r="X323" s="18">
        <f t="shared" si="273"/>
        <v>1.0147401208626385</v>
      </c>
      <c r="Y323" s="18">
        <f t="shared" si="274"/>
        <v>-0.1706535093098735</v>
      </c>
      <c r="Z323" s="32" t="str">
        <f t="shared" si="261"/>
        <v>0.999496429835282+0.0845788113103206i</v>
      </c>
      <c r="AA323" s="18">
        <f t="shared" si="275"/>
        <v>1.0030686360245451</v>
      </c>
      <c r="AB323" s="18">
        <f t="shared" si="276"/>
        <v>8.4420302257785573E-2</v>
      </c>
      <c r="AC323" s="68" t="str">
        <f t="shared" si="277"/>
        <v>-0.0985610628575324-0.6177306466949i</v>
      </c>
      <c r="AD323" s="66">
        <f t="shared" si="278"/>
        <v>-4.074841199898521</v>
      </c>
      <c r="AE323" s="63">
        <f t="shared" si="279"/>
        <v>-99.065329025661086</v>
      </c>
      <c r="AF323" s="51" t="e">
        <f t="shared" si="280"/>
        <v>#NUM!</v>
      </c>
      <c r="AG323" s="51" t="str">
        <f t="shared" si="262"/>
        <v>1-52.8738739984085i</v>
      </c>
      <c r="AH323" s="51">
        <f t="shared" si="281"/>
        <v>52.883329619073521</v>
      </c>
      <c r="AI323" s="51">
        <f t="shared" si="282"/>
        <v>-1.5518856490448532</v>
      </c>
      <c r="AJ323" s="51" t="str">
        <f t="shared" si="263"/>
        <v>1+0.0704984986645445i</v>
      </c>
      <c r="AK323" s="51">
        <f t="shared" si="283"/>
        <v>1.0024819391460151</v>
      </c>
      <c r="AL323" s="51">
        <f t="shared" si="284"/>
        <v>7.0382052300395292E-2</v>
      </c>
      <c r="AM323" s="51" t="e">
        <f t="shared" si="264"/>
        <v>#NUM!</v>
      </c>
      <c r="AN323" s="51" t="e">
        <f t="shared" si="285"/>
        <v>#NUM!</v>
      </c>
      <c r="AO323" s="51" t="e">
        <f t="shared" si="286"/>
        <v>#NUM!</v>
      </c>
      <c r="AP323" s="60" t="e">
        <f t="shared" si="287"/>
        <v>#NUM!</v>
      </c>
      <c r="AQ323" s="51" t="e">
        <f t="shared" si="288"/>
        <v>#NUM!</v>
      </c>
      <c r="AR323" s="63" t="e">
        <f t="shared" si="289"/>
        <v>#NUM!</v>
      </c>
      <c r="AS323" s="32" t="str">
        <f t="shared" si="265"/>
        <v>-0.000170731707317073</v>
      </c>
      <c r="AT323" s="32" t="str">
        <f t="shared" si="266"/>
        <v>0.00267894294925269i</v>
      </c>
      <c r="AU323" s="32">
        <f t="shared" si="290"/>
        <v>2.67894294925269E-3</v>
      </c>
      <c r="AV323" s="32">
        <f t="shared" si="291"/>
        <v>1.5707963267948966</v>
      </c>
      <c r="AW323" s="32" t="str">
        <f t="shared" si="267"/>
        <v>1+0.570369958669146i</v>
      </c>
      <c r="AX323" s="32">
        <f t="shared" si="292"/>
        <v>1.151226254804955</v>
      </c>
      <c r="AY323" s="32">
        <f t="shared" si="293"/>
        <v>0.51834771917661526</v>
      </c>
      <c r="AZ323" s="32" t="str">
        <f t="shared" si="268"/>
        <v>1+10.8370292147138i</v>
      </c>
      <c r="BA323" s="32">
        <f t="shared" si="294"/>
        <v>10.883069521075404</v>
      </c>
      <c r="BB323" s="32">
        <f t="shared" si="295"/>
        <v>1.4787806928427023</v>
      </c>
      <c r="BC323" s="60" t="str">
        <f t="shared" si="296"/>
        <v>-0.493694734802563+0.345319643326292i</v>
      </c>
      <c r="BD323" s="51">
        <f t="shared" si="297"/>
        <v>-4.4011712752706007</v>
      </c>
      <c r="BE323" s="63">
        <f t="shared" si="298"/>
        <v>145.02875589626615</v>
      </c>
      <c r="BF323" s="60" t="str">
        <f t="shared" si="299"/>
        <v>0.261973604377711+0.270935296727631i</v>
      </c>
      <c r="BG323" s="66">
        <f t="shared" si="300"/>
        <v>-8.4760124751691173</v>
      </c>
      <c r="BH323" s="63">
        <f t="shared" si="301"/>
        <v>45.963426870605005</v>
      </c>
      <c r="BI323" s="60" t="e">
        <f t="shared" si="306"/>
        <v>#NUM!</v>
      </c>
      <c r="BJ323" s="66" t="e">
        <f t="shared" si="302"/>
        <v>#NUM!</v>
      </c>
      <c r="BK323" s="63" t="e">
        <f t="shared" si="307"/>
        <v>#NUM!</v>
      </c>
      <c r="BL323" s="51">
        <f t="shared" si="303"/>
        <v>-8.4760124751691173</v>
      </c>
      <c r="BM323" s="63">
        <f t="shared" si="304"/>
        <v>45.963426870605005</v>
      </c>
    </row>
    <row r="324" spans="14:65" x14ac:dyDescent="0.3">
      <c r="N324" s="11">
        <v>6</v>
      </c>
      <c r="O324" s="52">
        <f t="shared" si="308"/>
        <v>11481.536214968832</v>
      </c>
      <c r="P324" s="50" t="str">
        <f t="shared" si="257"/>
        <v>23.3035714285714</v>
      </c>
      <c r="Q324" s="18" t="str">
        <f t="shared" si="258"/>
        <v>1+38.6467605266477i</v>
      </c>
      <c r="R324" s="18">
        <f t="shared" si="269"/>
        <v>38.659696056798673</v>
      </c>
      <c r="S324" s="18">
        <f t="shared" si="270"/>
        <v>1.5449267093318428</v>
      </c>
      <c r="T324" s="18" t="str">
        <f t="shared" si="259"/>
        <v>1+0.0721406196497425i</v>
      </c>
      <c r="U324" s="18">
        <f t="shared" si="271"/>
        <v>1.0025987577308526</v>
      </c>
      <c r="V324" s="18">
        <f t="shared" si="272"/>
        <v>7.2015862583345081E-2</v>
      </c>
      <c r="W324" s="32" t="str">
        <f t="shared" si="260"/>
        <v>1-0.176343736921593i</v>
      </c>
      <c r="X324" s="18">
        <f t="shared" si="273"/>
        <v>1.0154295217057026</v>
      </c>
      <c r="Y324" s="18">
        <f t="shared" si="274"/>
        <v>-0.17454917610434323</v>
      </c>
      <c r="Z324" s="32" t="str">
        <f t="shared" si="261"/>
        <v>0.999472697304577+0.0865489049092873i</v>
      </c>
      <c r="AA324" s="18">
        <f t="shared" si="275"/>
        <v>1.00321303101499</v>
      </c>
      <c r="AB324" s="18">
        <f t="shared" si="276"/>
        <v>8.6379088549921212E-2</v>
      </c>
      <c r="AC324" s="68" t="str">
        <f t="shared" si="277"/>
        <v>-0.0992941289933873-0.603600597271428i</v>
      </c>
      <c r="AD324" s="66">
        <f t="shared" si="278"/>
        <v>-4.2690433517912476</v>
      </c>
      <c r="AE324" s="63">
        <f t="shared" si="279"/>
        <v>-99.341663438091231</v>
      </c>
      <c r="AF324" s="51" t="e">
        <f t="shared" si="280"/>
        <v>#NUM!</v>
      </c>
      <c r="AG324" s="51" t="str">
        <f t="shared" si="262"/>
        <v>1-54.105464737307i</v>
      </c>
      <c r="AH324" s="51">
        <f t="shared" si="281"/>
        <v>54.114705158948901</v>
      </c>
      <c r="AI324" s="51">
        <f t="shared" si="282"/>
        <v>-1.5523160094821575</v>
      </c>
      <c r="AJ324" s="51" t="str">
        <f t="shared" si="263"/>
        <v>1+0.0721406196497425i</v>
      </c>
      <c r="AK324" s="51">
        <f t="shared" si="283"/>
        <v>1.0025987577308526</v>
      </c>
      <c r="AL324" s="51">
        <f t="shared" si="284"/>
        <v>7.2015862583345081E-2</v>
      </c>
      <c r="AM324" s="51" t="e">
        <f t="shared" si="264"/>
        <v>#NUM!</v>
      </c>
      <c r="AN324" s="51" t="e">
        <f t="shared" si="285"/>
        <v>#NUM!</v>
      </c>
      <c r="AO324" s="51" t="e">
        <f t="shared" si="286"/>
        <v>#NUM!</v>
      </c>
      <c r="AP324" s="60" t="e">
        <f t="shared" si="287"/>
        <v>#NUM!</v>
      </c>
      <c r="AQ324" s="51" t="e">
        <f t="shared" si="288"/>
        <v>#NUM!</v>
      </c>
      <c r="AR324" s="63" t="e">
        <f t="shared" si="289"/>
        <v>#NUM!</v>
      </c>
      <c r="AS324" s="32" t="str">
        <f t="shared" si="265"/>
        <v>-0.000170731707317073</v>
      </c>
      <c r="AT324" s="32" t="str">
        <f t="shared" si="266"/>
        <v>0.00274134354669021i</v>
      </c>
      <c r="AU324" s="32">
        <f t="shared" si="290"/>
        <v>2.7413435466902098E-3</v>
      </c>
      <c r="AV324" s="32">
        <f t="shared" si="291"/>
        <v>1.5707963267948966</v>
      </c>
      <c r="AW324" s="32" t="str">
        <f t="shared" si="267"/>
        <v>1+0.5836555817136i</v>
      </c>
      <c r="AX324" s="32">
        <f t="shared" si="292"/>
        <v>1.1578660708671968</v>
      </c>
      <c r="AY324" s="32">
        <f t="shared" si="293"/>
        <v>0.52831484872947565</v>
      </c>
      <c r="AZ324" s="32" t="str">
        <f t="shared" si="268"/>
        <v>1+11.0894560525584i</v>
      </c>
      <c r="BA324" s="32">
        <f t="shared" si="294"/>
        <v>11.134452637719741</v>
      </c>
      <c r="BB324" s="32">
        <f t="shared" si="295"/>
        <v>1.4808638189664545</v>
      </c>
      <c r="BC324" s="60" t="str">
        <f t="shared" si="296"/>
        <v>-0.488048756742026+0.347132684240508i</v>
      </c>
      <c r="BD324" s="51">
        <f t="shared" si="297"/>
        <v>-4.4527747466090997</v>
      </c>
      <c r="BE324" s="63">
        <f t="shared" si="298"/>
        <v>144.57703577411152</v>
      </c>
      <c r="BF324" s="60" t="str">
        <f t="shared" si="299"/>
        <v>0.25798987174701+0.260118283540267i</v>
      </c>
      <c r="BG324" s="66">
        <f t="shared" si="300"/>
        <v>-8.7218180984003411</v>
      </c>
      <c r="BH324" s="63">
        <f t="shared" si="301"/>
        <v>45.235372336020262</v>
      </c>
      <c r="BI324" s="60" t="e">
        <f t="shared" si="306"/>
        <v>#NUM!</v>
      </c>
      <c r="BJ324" s="66" t="e">
        <f t="shared" si="302"/>
        <v>#NUM!</v>
      </c>
      <c r="BK324" s="63" t="e">
        <f t="shared" si="307"/>
        <v>#NUM!</v>
      </c>
      <c r="BL324" s="51">
        <f t="shared" si="303"/>
        <v>-8.7218180984003411</v>
      </c>
      <c r="BM324" s="63">
        <f t="shared" si="304"/>
        <v>45.235372336020262</v>
      </c>
    </row>
    <row r="325" spans="14:65" x14ac:dyDescent="0.3">
      <c r="N325" s="11">
        <v>7</v>
      </c>
      <c r="O325" s="52">
        <f t="shared" si="308"/>
        <v>11748.975549395318</v>
      </c>
      <c r="P325" s="50" t="str">
        <f t="shared" si="257"/>
        <v>23.3035714285714</v>
      </c>
      <c r="Q325" s="18" t="str">
        <f t="shared" si="258"/>
        <v>1+39.5469592212711i</v>
      </c>
      <c r="R325" s="18">
        <f t="shared" si="269"/>
        <v>39.559600397992895</v>
      </c>
      <c r="S325" s="18">
        <f t="shared" si="270"/>
        <v>1.5455153199234148</v>
      </c>
      <c r="T325" s="18" t="str">
        <f t="shared" si="259"/>
        <v>1+0.0738209905463729i</v>
      </c>
      <c r="U325" s="18">
        <f t="shared" si="271"/>
        <v>1.0027210672192182</v>
      </c>
      <c r="V325" s="18">
        <f t="shared" si="272"/>
        <v>7.3687330525940425E-2</v>
      </c>
      <c r="W325" s="32" t="str">
        <f t="shared" si="260"/>
        <v>1-0.180451310224467i</v>
      </c>
      <c r="X325" s="18">
        <f t="shared" si="273"/>
        <v>1.0161509117063896</v>
      </c>
      <c r="Y325" s="18">
        <f t="shared" si="274"/>
        <v>-0.1785300504808513</v>
      </c>
      <c r="Z325" s="32" t="str">
        <f t="shared" si="261"/>
        <v>0.999447846294159+0.0885648878832472i</v>
      </c>
      <c r="AA325" s="18">
        <f t="shared" si="275"/>
        <v>1.0033642094612529</v>
      </c>
      <c r="AB325" s="18">
        <f t="shared" si="276"/>
        <v>8.8382959069539746E-2</v>
      </c>
      <c r="AC325" s="68" t="str">
        <f t="shared" si="277"/>
        <v>-0.0999937984295515-0.589788901932059i</v>
      </c>
      <c r="AD325" s="66">
        <f t="shared" si="278"/>
        <v>-4.4629933214005364</v>
      </c>
      <c r="AE325" s="63">
        <f t="shared" si="279"/>
        <v>-99.622520906073419</v>
      </c>
      <c r="AF325" s="51" t="e">
        <f t="shared" si="280"/>
        <v>#NUM!</v>
      </c>
      <c r="AG325" s="51" t="str">
        <f t="shared" si="262"/>
        <v>1-55.3657429097798i</v>
      </c>
      <c r="AH325" s="51">
        <f t="shared" si="281"/>
        <v>55.374773028445283</v>
      </c>
      <c r="AI325" s="51">
        <f t="shared" si="282"/>
        <v>-1.5527365803354667</v>
      </c>
      <c r="AJ325" s="51" t="str">
        <f t="shared" si="263"/>
        <v>1+0.0738209905463729i</v>
      </c>
      <c r="AK325" s="51">
        <f t="shared" si="283"/>
        <v>1.0027210672192182</v>
      </c>
      <c r="AL325" s="51">
        <f t="shared" si="284"/>
        <v>7.3687330525940425E-2</v>
      </c>
      <c r="AM325" s="51" t="e">
        <f t="shared" si="264"/>
        <v>#NUM!</v>
      </c>
      <c r="AN325" s="51" t="e">
        <f t="shared" si="285"/>
        <v>#NUM!</v>
      </c>
      <c r="AO325" s="51" t="e">
        <f t="shared" si="286"/>
        <v>#NUM!</v>
      </c>
      <c r="AP325" s="60" t="e">
        <f t="shared" si="287"/>
        <v>#NUM!</v>
      </c>
      <c r="AQ325" s="51" t="e">
        <f t="shared" si="288"/>
        <v>#NUM!</v>
      </c>
      <c r="AR325" s="63" t="e">
        <f t="shared" si="289"/>
        <v>#NUM!</v>
      </c>
      <c r="AS325" s="32" t="str">
        <f t="shared" si="265"/>
        <v>-0.000170731707317073</v>
      </c>
      <c r="AT325" s="32" t="str">
        <f t="shared" si="266"/>
        <v>0.00280519764076217i</v>
      </c>
      <c r="AU325" s="32">
        <f t="shared" si="290"/>
        <v>2.80519764076217E-3</v>
      </c>
      <c r="AV325" s="32">
        <f t="shared" si="291"/>
        <v>1.5707963267948966</v>
      </c>
      <c r="AW325" s="32" t="str">
        <f t="shared" si="267"/>
        <v>1+0.597250666673075i</v>
      </c>
      <c r="AX325" s="32">
        <f t="shared" si="292"/>
        <v>1.1647782444918142</v>
      </c>
      <c r="AY325" s="32">
        <f t="shared" si="293"/>
        <v>0.53839547939014387</v>
      </c>
      <c r="AZ325" s="32" t="str">
        <f t="shared" si="268"/>
        <v>1+11.3477626667884i</v>
      </c>
      <c r="BA325" s="32">
        <f t="shared" si="294"/>
        <v>11.391739004285366</v>
      </c>
      <c r="BB325" s="32">
        <f t="shared" si="295"/>
        <v>1.4829002838637877</v>
      </c>
      <c r="BC325" s="60" t="str">
        <f t="shared" si="296"/>
        <v>-0.482273463287281+0.348900777905709i</v>
      </c>
      <c r="BD325" s="51">
        <f t="shared" si="297"/>
        <v>-4.5060501150590699</v>
      </c>
      <c r="BE325" s="63">
        <f t="shared" si="298"/>
        <v>144.11613902616881</v>
      </c>
      <c r="BF325" s="60" t="str">
        <f t="shared" si="299"/>
        <v>0.254002162160119+0.249551622285359i</v>
      </c>
      <c r="BG325" s="66">
        <f t="shared" si="300"/>
        <v>-8.9690434364596214</v>
      </c>
      <c r="BH325" s="63">
        <f t="shared" si="301"/>
        <v>44.493618120095363</v>
      </c>
      <c r="BI325" s="60" t="e">
        <f t="shared" si="306"/>
        <v>#NUM!</v>
      </c>
      <c r="BJ325" s="66" t="e">
        <f t="shared" si="302"/>
        <v>#NUM!</v>
      </c>
      <c r="BK325" s="63" t="e">
        <f t="shared" si="307"/>
        <v>#NUM!</v>
      </c>
      <c r="BL325" s="51">
        <f t="shared" si="303"/>
        <v>-8.9690434364596214</v>
      </c>
      <c r="BM325" s="63">
        <f t="shared" si="304"/>
        <v>44.493618120095363</v>
      </c>
    </row>
    <row r="326" spans="14:65" x14ac:dyDescent="0.3">
      <c r="N326" s="11">
        <v>8</v>
      </c>
      <c r="O326" s="52">
        <f t="shared" si="308"/>
        <v>12022.644346174151</v>
      </c>
      <c r="P326" s="50" t="str">
        <f t="shared" si="257"/>
        <v>23.3035714285714</v>
      </c>
      <c r="Q326" s="18" t="str">
        <f t="shared" si="258"/>
        <v>1+40.4681262371395i</v>
      </c>
      <c r="R326" s="18">
        <f t="shared" si="269"/>
        <v>40.480479754383573</v>
      </c>
      <c r="S326" s="18">
        <f t="shared" si="270"/>
        <v>1.5460905490334851</v>
      </c>
      <c r="T326" s="18" t="str">
        <f t="shared" si="259"/>
        <v>1+0.0755405023093271i</v>
      </c>
      <c r="U326" s="18">
        <f t="shared" si="271"/>
        <v>1.0028491249879743</v>
      </c>
      <c r="V326" s="18">
        <f t="shared" si="272"/>
        <v>7.5397304983623639E-2</v>
      </c>
      <c r="W326" s="32" t="str">
        <f t="shared" si="260"/>
        <v>1-0.184654561200577i</v>
      </c>
      <c r="X326" s="18">
        <f t="shared" si="273"/>
        <v>1.016905751273036</v>
      </c>
      <c r="Y326" s="18">
        <f t="shared" si="274"/>
        <v>-0.18259773821094258</v>
      </c>
      <c r="Z326" s="32" t="str">
        <f t="shared" si="261"/>
        <v>0.999421824091702+0.0906278291330574i</v>
      </c>
      <c r="AA326" s="18">
        <f t="shared" si="275"/>
        <v>1.0035224889777783</v>
      </c>
      <c r="AB326" s="18">
        <f t="shared" si="276"/>
        <v>9.0432925563864772E-2</v>
      </c>
      <c r="AC326" s="68" t="str">
        <f t="shared" si="277"/>
        <v>-0.100661549795509-0.576288354552597i</v>
      </c>
      <c r="AD326" s="66">
        <f t="shared" si="278"/>
        <v>-4.6566794450940012</v>
      </c>
      <c r="AE326" s="63">
        <f t="shared" si="279"/>
        <v>-99.908020554412488</v>
      </c>
      <c r="AF326" s="51" t="e">
        <f t="shared" si="280"/>
        <v>#NUM!</v>
      </c>
      <c r="AG326" s="51" t="str">
        <f t="shared" si="262"/>
        <v>1-56.6553767319955i</v>
      </c>
      <c r="AH326" s="51">
        <f t="shared" si="281"/>
        <v>56.664201332449196</v>
      </c>
      <c r="AI326" s="51">
        <f t="shared" si="282"/>
        <v>-1.5531475840015483</v>
      </c>
      <c r="AJ326" s="51" t="str">
        <f t="shared" si="263"/>
        <v>1+0.0755405023093271i</v>
      </c>
      <c r="AK326" s="51">
        <f t="shared" si="283"/>
        <v>1.0028491249879743</v>
      </c>
      <c r="AL326" s="51">
        <f t="shared" si="284"/>
        <v>7.5397304983623639E-2</v>
      </c>
      <c r="AM326" s="51" t="e">
        <f t="shared" si="264"/>
        <v>#NUM!</v>
      </c>
      <c r="AN326" s="51" t="e">
        <f t="shared" si="285"/>
        <v>#NUM!</v>
      </c>
      <c r="AO326" s="51" t="e">
        <f t="shared" si="286"/>
        <v>#NUM!</v>
      </c>
      <c r="AP326" s="60" t="e">
        <f t="shared" si="287"/>
        <v>#NUM!</v>
      </c>
      <c r="AQ326" s="51" t="e">
        <f t="shared" si="288"/>
        <v>#NUM!</v>
      </c>
      <c r="AR326" s="63" t="e">
        <f t="shared" si="289"/>
        <v>#NUM!</v>
      </c>
      <c r="AS326" s="32" t="str">
        <f t="shared" si="265"/>
        <v>-0.000170731707317073</v>
      </c>
      <c r="AT326" s="32" t="str">
        <f t="shared" si="266"/>
        <v>0.00287053908775443i</v>
      </c>
      <c r="AU326" s="32">
        <f t="shared" si="290"/>
        <v>2.8705390877544301E-3</v>
      </c>
      <c r="AV326" s="32">
        <f t="shared" si="291"/>
        <v>1.5707963267948966</v>
      </c>
      <c r="AW326" s="32" t="str">
        <f t="shared" si="267"/>
        <v>1+0.611162421841566i</v>
      </c>
      <c r="AX326" s="32">
        <f t="shared" si="292"/>
        <v>1.1719724851169708</v>
      </c>
      <c r="AY326" s="32">
        <f t="shared" si="293"/>
        <v>0.54858676042158516</v>
      </c>
      <c r="AZ326" s="32" t="str">
        <f t="shared" si="268"/>
        <v>1+11.6120860149898i</v>
      </c>
      <c r="BA326" s="32">
        <f t="shared" si="294"/>
        <v>11.65506506286094</v>
      </c>
      <c r="BB326" s="32">
        <f t="shared" si="295"/>
        <v>1.48489109969309</v>
      </c>
      <c r="BC326" s="60" t="str">
        <f t="shared" si="296"/>
        <v>-0.476370693020649+0.350617094270769i</v>
      </c>
      <c r="BD326" s="51">
        <f t="shared" si="297"/>
        <v>-4.5610399023191315</v>
      </c>
      <c r="BE326" s="63">
        <f t="shared" si="298"/>
        <v>143.64628698004236</v>
      </c>
      <c r="BF326" s="60" t="str">
        <f t="shared" si="299"/>
        <v>0.250008760571933+0.239233222743856i</v>
      </c>
      <c r="BG326" s="66">
        <f t="shared" si="300"/>
        <v>-9.2177193474131478</v>
      </c>
      <c r="BH326" s="63">
        <f t="shared" si="301"/>
        <v>43.738266425629874</v>
      </c>
      <c r="BI326" s="60" t="e">
        <f t="shared" si="306"/>
        <v>#NUM!</v>
      </c>
      <c r="BJ326" s="66" t="e">
        <f t="shared" si="302"/>
        <v>#NUM!</v>
      </c>
      <c r="BK326" s="63" t="e">
        <f t="shared" si="307"/>
        <v>#NUM!</v>
      </c>
      <c r="BL326" s="51">
        <f t="shared" si="303"/>
        <v>-9.2177193474131478</v>
      </c>
      <c r="BM326" s="63">
        <f t="shared" si="304"/>
        <v>43.738266425629874</v>
      </c>
    </row>
    <row r="327" spans="14:65" x14ac:dyDescent="0.3">
      <c r="N327" s="11">
        <v>9</v>
      </c>
      <c r="O327" s="52">
        <f t="shared" si="308"/>
        <v>12302.687708123816</v>
      </c>
      <c r="P327" s="50" t="str">
        <f t="shared" si="257"/>
        <v>23.3035714285714</v>
      </c>
      <c r="Q327" s="18" t="str">
        <f t="shared" si="258"/>
        <v>1+41.4107499891977i</v>
      </c>
      <c r="R327" s="18">
        <f t="shared" si="269"/>
        <v>41.422822388966168</v>
      </c>
      <c r="S327" s="18">
        <f t="shared" si="270"/>
        <v>1.5466527001325756</v>
      </c>
      <c r="T327" s="18" t="str">
        <f t="shared" si="259"/>
        <v>1+0.0773000666465025i</v>
      </c>
      <c r="U327" s="18">
        <f t="shared" si="271"/>
        <v>1.0029832004094354</v>
      </c>
      <c r="V327" s="18">
        <f t="shared" si="272"/>
        <v>7.7146652585196374E-2</v>
      </c>
      <c r="W327" s="32" t="str">
        <f t="shared" si="260"/>
        <v>1-0.188955718469228i</v>
      </c>
      <c r="X327" s="18">
        <f t="shared" si="273"/>
        <v>1.0176955652562421</v>
      </c>
      <c r="Y327" s="18">
        <f t="shared" si="274"/>
        <v>-0.18675385733733987</v>
      </c>
      <c r="Z327" s="32" t="str">
        <f t="shared" si="261"/>
        <v>0.999394575500625+0.0927388224574752i</v>
      </c>
      <c r="AA327" s="18">
        <f t="shared" si="275"/>
        <v>1.00368820194863</v>
      </c>
      <c r="AB327" s="18">
        <f t="shared" si="276"/>
        <v>9.2530020642480809E-2</v>
      </c>
      <c r="AC327" s="68" t="str">
        <f t="shared" si="277"/>
        <v>-0.101298794572209-0.563091906528295i</v>
      </c>
      <c r="AD327" s="66">
        <f t="shared" si="278"/>
        <v>-4.8500896072972397</v>
      </c>
      <c r="AE327" s="63">
        <f t="shared" si="279"/>
        <v>-100.19828198770611</v>
      </c>
      <c r="AF327" s="51" t="e">
        <f t="shared" si="280"/>
        <v>#NUM!</v>
      </c>
      <c r="AG327" s="51" t="str">
        <f t="shared" si="262"/>
        <v>1-57.975049984877i</v>
      </c>
      <c r="AH327" s="51">
        <f t="shared" si="281"/>
        <v>57.983673743123482</v>
      </c>
      <c r="AI327" s="51">
        <f t="shared" si="282"/>
        <v>-1.553549237844241</v>
      </c>
      <c r="AJ327" s="51" t="str">
        <f t="shared" si="263"/>
        <v>1+0.0773000666465025i</v>
      </c>
      <c r="AK327" s="51">
        <f t="shared" si="283"/>
        <v>1.0029832004094354</v>
      </c>
      <c r="AL327" s="51">
        <f t="shared" si="284"/>
        <v>7.7146652585196374E-2</v>
      </c>
      <c r="AM327" s="51" t="e">
        <f t="shared" si="264"/>
        <v>#NUM!</v>
      </c>
      <c r="AN327" s="51" t="e">
        <f t="shared" si="285"/>
        <v>#NUM!</v>
      </c>
      <c r="AO327" s="51" t="e">
        <f t="shared" si="286"/>
        <v>#NUM!</v>
      </c>
      <c r="AP327" s="60" t="e">
        <f t="shared" si="287"/>
        <v>#NUM!</v>
      </c>
      <c r="AQ327" s="51" t="e">
        <f t="shared" si="288"/>
        <v>#NUM!</v>
      </c>
      <c r="AR327" s="63" t="e">
        <f t="shared" si="289"/>
        <v>#NUM!</v>
      </c>
      <c r="AS327" s="32" t="str">
        <f t="shared" si="265"/>
        <v>-0.000170731707317073</v>
      </c>
      <c r="AT327" s="32" t="str">
        <f t="shared" si="266"/>
        <v>0.00293740253256709i</v>
      </c>
      <c r="AU327" s="32">
        <f t="shared" si="290"/>
        <v>2.9374025325670898E-3</v>
      </c>
      <c r="AV327" s="32">
        <f t="shared" si="291"/>
        <v>1.5707963267948966</v>
      </c>
      <c r="AW327" s="32" t="str">
        <f t="shared" si="267"/>
        <v>1+0.625398223415808i</v>
      </c>
      <c r="AX327" s="32">
        <f t="shared" si="292"/>
        <v>1.1794587478380281</v>
      </c>
      <c r="AY327" s="32">
        <f t="shared" si="293"/>
        <v>0.55888562699833877</v>
      </c>
      <c r="AZ327" s="32" t="str">
        <f t="shared" si="268"/>
        <v>1+11.8825662449004i</v>
      </c>
      <c r="BA327" s="32">
        <f t="shared" si="294"/>
        <v>11.924570456181906</v>
      </c>
      <c r="BB327" s="32">
        <f t="shared" si="295"/>
        <v>1.4868372588538898</v>
      </c>
      <c r="BC327" s="60" t="str">
        <f t="shared" si="296"/>
        <v>-0.470342642685289+0.352274813966746i</v>
      </c>
      <c r="BD327" s="51">
        <f t="shared" si="297"/>
        <v>-4.6177858710114696</v>
      </c>
      <c r="BE327" s="63">
        <f t="shared" si="298"/>
        <v>143.16771209760066</v>
      </c>
      <c r="BF327" s="60" t="str">
        <f t="shared" si="299"/>
        <v>0.246008239358362+0.229161121378235i</v>
      </c>
      <c r="BG327" s="66">
        <f t="shared" si="300"/>
        <v>-9.4678754783087289</v>
      </c>
      <c r="BH327" s="63">
        <f t="shared" si="301"/>
        <v>42.969430109894525</v>
      </c>
      <c r="BI327" s="60" t="e">
        <f t="shared" si="306"/>
        <v>#NUM!</v>
      </c>
      <c r="BJ327" s="66" t="e">
        <f t="shared" si="302"/>
        <v>#NUM!</v>
      </c>
      <c r="BK327" s="63" t="e">
        <f t="shared" si="307"/>
        <v>#NUM!</v>
      </c>
      <c r="BL327" s="51">
        <f t="shared" si="303"/>
        <v>-9.4678754783087289</v>
      </c>
      <c r="BM327" s="63">
        <f t="shared" si="304"/>
        <v>42.969430109894525</v>
      </c>
    </row>
    <row r="328" spans="14:65" x14ac:dyDescent="0.3">
      <c r="N328" s="11">
        <v>10</v>
      </c>
      <c r="O328" s="52">
        <f t="shared" si="308"/>
        <v>12589.254117941671</v>
      </c>
      <c r="P328" s="50" t="str">
        <f t="shared" si="257"/>
        <v>23.3035714285714</v>
      </c>
      <c r="Q328" s="18" t="str">
        <f t="shared" si="258"/>
        <v>1+42.3753302690363i</v>
      </c>
      <c r="R328" s="18">
        <f t="shared" si="269"/>
        <v>42.387127944812491</v>
      </c>
      <c r="S328" s="18">
        <f t="shared" si="270"/>
        <v>1.5472020698586459</v>
      </c>
      <c r="T328" s="18" t="str">
        <f t="shared" si="259"/>
        <v>1+0.0791006165022012i</v>
      </c>
      <c r="U328" s="18">
        <f t="shared" si="271"/>
        <v>1.0031235754038623</v>
      </c>
      <c r="V328" s="18">
        <f t="shared" si="272"/>
        <v>7.8936258006897339E-2</v>
      </c>
      <c r="W328" s="32" t="str">
        <f t="shared" si="260"/>
        <v>1-0.193357062560936i</v>
      </c>
      <c r="X328" s="18">
        <f t="shared" si="273"/>
        <v>1.0185219455869343</v>
      </c>
      <c r="Y328" s="18">
        <f t="shared" si="274"/>
        <v>-0.19100003688910114</v>
      </c>
      <c r="Z328" s="32" t="str">
        <f t="shared" si="261"/>
        <v>0.999366042723016+0.0948989871331033i</v>
      </c>
      <c r="AA328" s="18">
        <f t="shared" si="275"/>
        <v>1.0038616962045868</v>
      </c>
      <c r="AB328" s="18">
        <f t="shared" si="276"/>
        <v>9.4675298074938186E-2</v>
      </c>
      <c r="AC328" s="68" t="str">
        <f t="shared" si="277"/>
        <v>-0.101906880044342-0.550192663556019i</v>
      </c>
      <c r="AD328" s="66">
        <f t="shared" si="278"/>
        <v>-5.0432112244866358</v>
      </c>
      <c r="AE328" s="63">
        <f t="shared" si="279"/>
        <v>-100.49342522688008</v>
      </c>
      <c r="AF328" s="51" t="e">
        <f t="shared" si="280"/>
        <v>#NUM!</v>
      </c>
      <c r="AG328" s="51" t="str">
        <f t="shared" si="262"/>
        <v>1-59.325462376651i</v>
      </c>
      <c r="AH328" s="51">
        <f t="shared" si="281"/>
        <v>59.33388986240017</v>
      </c>
      <c r="AI328" s="51">
        <f t="shared" si="282"/>
        <v>-1.5539417543070539</v>
      </c>
      <c r="AJ328" s="51" t="str">
        <f t="shared" si="263"/>
        <v>1+0.0791006165022012i</v>
      </c>
      <c r="AK328" s="51">
        <f t="shared" si="283"/>
        <v>1.0031235754038623</v>
      </c>
      <c r="AL328" s="51">
        <f t="shared" si="284"/>
        <v>7.8936258006897339E-2</v>
      </c>
      <c r="AM328" s="51" t="e">
        <f t="shared" si="264"/>
        <v>#NUM!</v>
      </c>
      <c r="AN328" s="51" t="e">
        <f t="shared" si="285"/>
        <v>#NUM!</v>
      </c>
      <c r="AO328" s="51" t="e">
        <f t="shared" si="286"/>
        <v>#NUM!</v>
      </c>
      <c r="AP328" s="60" t="e">
        <f t="shared" si="287"/>
        <v>#NUM!</v>
      </c>
      <c r="AQ328" s="51" t="e">
        <f t="shared" si="288"/>
        <v>#NUM!</v>
      </c>
      <c r="AR328" s="63" t="e">
        <f t="shared" si="289"/>
        <v>#NUM!</v>
      </c>
      <c r="AS328" s="32" t="str">
        <f t="shared" si="265"/>
        <v>-0.000170731707317073</v>
      </c>
      <c r="AT328" s="32" t="str">
        <f t="shared" si="266"/>
        <v>0.00300582342708365i</v>
      </c>
      <c r="AU328" s="32">
        <f t="shared" si="290"/>
        <v>3.00582342708365E-3</v>
      </c>
      <c r="AV328" s="32">
        <f t="shared" si="291"/>
        <v>1.5707963267948966</v>
      </c>
      <c r="AW328" s="32" t="str">
        <f t="shared" si="267"/>
        <v>1+0.639965619406229i</v>
      </c>
      <c r="AX328" s="32">
        <f t="shared" si="292"/>
        <v>1.1872472337394593</v>
      </c>
      <c r="AY328" s="32">
        <f t="shared" si="293"/>
        <v>0.56928880040085561</v>
      </c>
      <c r="AZ328" s="32" t="str">
        <f t="shared" si="268"/>
        <v>1+12.1593467687184i</v>
      </c>
      <c r="BA328" s="32">
        <f t="shared" si="294"/>
        <v>12.200398101781049</v>
      </c>
      <c r="BB328" s="32">
        <f t="shared" si="295"/>
        <v>1.4887397342236004</v>
      </c>
      <c r="BC328" s="60" t="str">
        <f t="shared" si="296"/>
        <v>-0.464191874366257+0.353867152016826i</v>
      </c>
      <c r="BD328" s="51">
        <f t="shared" si="297"/>
        <v>-4.6763289200915708</v>
      </c>
      <c r="BE328" s="63">
        <f t="shared" si="298"/>
        <v>142.68065797740559</v>
      </c>
      <c r="BF328" s="60" t="str">
        <f t="shared" si="299"/>
        <v>0.241999456571721+0.21933346634642i</v>
      </c>
      <c r="BG328" s="66">
        <f t="shared" si="300"/>
        <v>-9.7195401445782039</v>
      </c>
      <c r="BH328" s="63">
        <f t="shared" si="301"/>
        <v>42.187232750525425</v>
      </c>
      <c r="BI328" s="60" t="e">
        <f t="shared" si="306"/>
        <v>#NUM!</v>
      </c>
      <c r="BJ328" s="66" t="e">
        <f t="shared" si="302"/>
        <v>#NUM!</v>
      </c>
      <c r="BK328" s="63" t="e">
        <f t="shared" si="307"/>
        <v>#NUM!</v>
      </c>
      <c r="BL328" s="51">
        <f t="shared" si="303"/>
        <v>-9.7195401445782039</v>
      </c>
      <c r="BM328" s="63">
        <f t="shared" si="304"/>
        <v>42.187232750525425</v>
      </c>
    </row>
    <row r="329" spans="14:65" x14ac:dyDescent="0.3">
      <c r="N329" s="11">
        <v>11</v>
      </c>
      <c r="O329" s="52">
        <f t="shared" si="308"/>
        <v>12882.49551693136</v>
      </c>
      <c r="P329" s="50" t="str">
        <f t="shared" si="257"/>
        <v>23.3035714285714</v>
      </c>
      <c r="Q329" s="18" t="str">
        <f t="shared" si="258"/>
        <v>1+43.3623785098874i</v>
      </c>
      <c r="R329" s="18">
        <f t="shared" si="269"/>
        <v>43.373907709990171</v>
      </c>
      <c r="S329" s="18">
        <f t="shared" si="270"/>
        <v>1.5477389481676072</v>
      </c>
      <c r="T329" s="18" t="str">
        <f t="shared" si="259"/>
        <v>1+0.08094310655179i</v>
      </c>
      <c r="U329" s="18">
        <f t="shared" si="271"/>
        <v>1.0032705450167738</v>
      </c>
      <c r="V329" s="18">
        <f t="shared" si="272"/>
        <v>8.0767024243225946E-2</v>
      </c>
      <c r="W329" s="32" t="str">
        <f t="shared" si="260"/>
        <v>1-0.197860927126598i</v>
      </c>
      <c r="X329" s="18">
        <f t="shared" si="273"/>
        <v>1.0193865540036307</v>
      </c>
      <c r="Y329" s="18">
        <f t="shared" si="274"/>
        <v>-0.19533791547990159</v>
      </c>
      <c r="Z329" s="32" t="str">
        <f t="shared" si="261"/>
        <v>0.999336165237025+0.0971094685078462i</v>
      </c>
      <c r="AA329" s="18">
        <f t="shared" si="275"/>
        <v>1.0040433357303453</v>
      </c>
      <c r="AB329" s="18">
        <f t="shared" si="276"/>
        <v>9.6869833082431592E-2</v>
      </c>
      <c r="AC329" s="68" t="str">
        <f t="shared" si="277"/>
        <v>-0.102487092120772-0.537583882465324i</v>
      </c>
      <c r="AD329" s="66">
        <f t="shared" si="278"/>
        <v>-5.2360312290251212</v>
      </c>
      <c r="AE329" s="63">
        <f t="shared" si="279"/>
        <v>-100.79357063869507</v>
      </c>
      <c r="AF329" s="51" t="e">
        <f t="shared" si="280"/>
        <v>#NUM!</v>
      </c>
      <c r="AG329" s="51" t="str">
        <f t="shared" si="262"/>
        <v>1-60.7073299138426i</v>
      </c>
      <c r="AH329" s="51">
        <f t="shared" si="281"/>
        <v>60.715565592919646</v>
      </c>
      <c r="AI329" s="51">
        <f t="shared" si="282"/>
        <v>-1.5543253410233366</v>
      </c>
      <c r="AJ329" s="51" t="str">
        <f t="shared" si="263"/>
        <v>1+0.08094310655179i</v>
      </c>
      <c r="AK329" s="51">
        <f t="shared" si="283"/>
        <v>1.0032705450167738</v>
      </c>
      <c r="AL329" s="51">
        <f t="shared" si="284"/>
        <v>8.0767024243225946E-2</v>
      </c>
      <c r="AM329" s="51" t="e">
        <f t="shared" si="264"/>
        <v>#NUM!</v>
      </c>
      <c r="AN329" s="51" t="e">
        <f t="shared" si="285"/>
        <v>#NUM!</v>
      </c>
      <c r="AO329" s="51" t="e">
        <f t="shared" si="286"/>
        <v>#NUM!</v>
      </c>
      <c r="AP329" s="60" t="e">
        <f t="shared" si="287"/>
        <v>#NUM!</v>
      </c>
      <c r="AQ329" s="51" t="e">
        <f t="shared" si="288"/>
        <v>#NUM!</v>
      </c>
      <c r="AR329" s="63" t="e">
        <f t="shared" si="289"/>
        <v>#NUM!</v>
      </c>
      <c r="AS329" s="32" t="str">
        <f t="shared" si="265"/>
        <v>-0.000170731707317073</v>
      </c>
      <c r="AT329" s="32" t="str">
        <f t="shared" si="266"/>
        <v>0.00307583804896802i</v>
      </c>
      <c r="AU329" s="32">
        <f t="shared" si="290"/>
        <v>3.0758380489680202E-3</v>
      </c>
      <c r="AV329" s="32">
        <f t="shared" si="291"/>
        <v>1.5707963267948966</v>
      </c>
      <c r="AW329" s="32" t="str">
        <f t="shared" si="267"/>
        <v>1+0.654872333639008i</v>
      </c>
      <c r="AX329" s="32">
        <f t="shared" si="292"/>
        <v>1.1953483899540753</v>
      </c>
      <c r="AY329" s="32">
        <f t="shared" si="293"/>
        <v>0.57979278907814602</v>
      </c>
      <c r="AZ329" s="32" t="str">
        <f t="shared" si="268"/>
        <v>1+12.4425743391412i</v>
      </c>
      <c r="BA329" s="32">
        <f t="shared" si="294"/>
        <v>12.482694267867616</v>
      </c>
      <c r="BB329" s="32">
        <f t="shared" si="295"/>
        <v>1.49059947940245</v>
      </c>
      <c r="BC329" s="60" t="str">
        <f t="shared" si="296"/>
        <v>-0.457921320851966+0.355387382681142i</v>
      </c>
      <c r="BD329" s="51">
        <f t="shared" si="297"/>
        <v>-4.736708978099081</v>
      </c>
      <c r="BE329" s="63">
        <f t="shared" si="298"/>
        <v>142.18537930786164</v>
      </c>
      <c r="BF329" s="60" t="str">
        <f t="shared" si="299"/>
        <v>0.237981553555139+0.209748502099847i</v>
      </c>
      <c r="BG329" s="66">
        <f t="shared" si="300"/>
        <v>-9.9727402071242039</v>
      </c>
      <c r="BH329" s="63">
        <f t="shared" si="301"/>
        <v>41.391808669166608</v>
      </c>
      <c r="BI329" s="60" t="e">
        <f t="shared" si="306"/>
        <v>#NUM!</v>
      </c>
      <c r="BJ329" s="66" t="e">
        <f t="shared" si="302"/>
        <v>#NUM!</v>
      </c>
      <c r="BK329" s="63" t="e">
        <f t="shared" si="307"/>
        <v>#NUM!</v>
      </c>
      <c r="BL329" s="51">
        <f t="shared" si="303"/>
        <v>-9.9727402071242039</v>
      </c>
      <c r="BM329" s="63">
        <f t="shared" si="304"/>
        <v>41.391808669166608</v>
      </c>
    </row>
    <row r="330" spans="14:65" x14ac:dyDescent="0.3">
      <c r="N330" s="11">
        <v>12</v>
      </c>
      <c r="O330" s="52">
        <f t="shared" si="308"/>
        <v>13182.567385564091</v>
      </c>
      <c r="P330" s="50" t="str">
        <f t="shared" si="257"/>
        <v>23.3035714285714</v>
      </c>
      <c r="Q330" s="18" t="str">
        <f t="shared" si="258"/>
        <v>1+44.3724180577934i</v>
      </c>
      <c r="R330" s="18">
        <f t="shared" si="269"/>
        <v>44.383684888656894</v>
      </c>
      <c r="S330" s="18">
        <f t="shared" si="270"/>
        <v>1.5482636184807439</v>
      </c>
      <c r="T330" s="18" t="str">
        <f t="shared" si="259"/>
        <v>1+0.0828285137078811i</v>
      </c>
      <c r="U330" s="18">
        <f t="shared" si="271"/>
        <v>1.0034244180221332</v>
      </c>
      <c r="V330" s="18">
        <f t="shared" si="272"/>
        <v>8.2639872873787767E-2</v>
      </c>
      <c r="W330" s="32" t="str">
        <f t="shared" si="260"/>
        <v>1-0.20246970017482i</v>
      </c>
      <c r="X330" s="18">
        <f t="shared" si="273"/>
        <v>1.0202911248701918</v>
      </c>
      <c r="Y330" s="18">
        <f t="shared" si="274"/>
        <v>-0.19976913978321101</v>
      </c>
      <c r="Z330" s="32" t="str">
        <f t="shared" si="261"/>
        <v>0.9993048796685+0.0993714386081876i</v>
      </c>
      <c r="AA330" s="18">
        <f t="shared" si="275"/>
        <v>1.004233501403103</v>
      </c>
      <c r="AB330" s="18">
        <f t="shared" si="276"/>
        <v>9.9114722622558118E-2</v>
      </c>
      <c r="AC330" s="68" t="str">
        <f t="shared" si="277"/>
        <v>-0.103040658028761-0.525258968099047i</v>
      </c>
      <c r="AD330" s="66">
        <f t="shared" si="278"/>
        <v>-5.4285360528737439</v>
      </c>
      <c r="AE330" s="63">
        <f t="shared" si="279"/>
        <v>-101.09883885785335</v>
      </c>
      <c r="AF330" s="51" t="e">
        <f t="shared" si="280"/>
        <v>#NUM!</v>
      </c>
      <c r="AG330" s="51" t="str">
        <f t="shared" si="262"/>
        <v>1-62.121385280911i</v>
      </c>
      <c r="AH330" s="51">
        <f t="shared" si="281"/>
        <v>62.129433517612135</v>
      </c>
      <c r="AI330" s="51">
        <f t="shared" si="282"/>
        <v>-1.55470020092406</v>
      </c>
      <c r="AJ330" s="51" t="str">
        <f t="shared" si="263"/>
        <v>1+0.0828285137078811i</v>
      </c>
      <c r="AK330" s="51">
        <f t="shared" si="283"/>
        <v>1.0034244180221332</v>
      </c>
      <c r="AL330" s="51">
        <f t="shared" si="284"/>
        <v>8.2639872873787767E-2</v>
      </c>
      <c r="AM330" s="51" t="e">
        <f t="shared" si="264"/>
        <v>#NUM!</v>
      </c>
      <c r="AN330" s="51" t="e">
        <f t="shared" si="285"/>
        <v>#NUM!</v>
      </c>
      <c r="AO330" s="51" t="e">
        <f t="shared" si="286"/>
        <v>#NUM!</v>
      </c>
      <c r="AP330" s="60" t="e">
        <f t="shared" si="287"/>
        <v>#NUM!</v>
      </c>
      <c r="AQ330" s="51" t="e">
        <f t="shared" si="288"/>
        <v>#NUM!</v>
      </c>
      <c r="AR330" s="63" t="e">
        <f t="shared" si="289"/>
        <v>#NUM!</v>
      </c>
      <c r="AS330" s="32" t="str">
        <f t="shared" si="265"/>
        <v>-0.000170731707317073</v>
      </c>
      <c r="AT330" s="32" t="str">
        <f t="shared" si="266"/>
        <v>0.00314748352089948i</v>
      </c>
      <c r="AU330" s="32">
        <f t="shared" si="290"/>
        <v>3.1474835208994802E-3</v>
      </c>
      <c r="AV330" s="32">
        <f t="shared" si="291"/>
        <v>1.5707963267948966</v>
      </c>
      <c r="AW330" s="32" t="str">
        <f t="shared" si="267"/>
        <v>1+0.67012626985134i</v>
      </c>
      <c r="AX330" s="32">
        <f t="shared" si="292"/>
        <v>1.2037729094579555</v>
      </c>
      <c r="AY330" s="32">
        <f t="shared" si="293"/>
        <v>0.59039389061581593</v>
      </c>
      <c r="AZ330" s="32" t="str">
        <f t="shared" si="268"/>
        <v>1+12.7323991271755i</v>
      </c>
      <c r="BA330" s="32">
        <f t="shared" si="294"/>
        <v>12.771608650976564</v>
      </c>
      <c r="BB330" s="32">
        <f t="shared" si="295"/>
        <v>1.4924174289655836</v>
      </c>
      <c r="BC330" s="60" t="str">
        <f t="shared" si="296"/>
        <v>-0.451534289023018+0.356828865288705i</v>
      </c>
      <c r="BD330" s="51">
        <f t="shared" si="297"/>
        <v>-4.7989648948374377</v>
      </c>
      <c r="BE330" s="63">
        <f t="shared" si="298"/>
        <v>141.68214176889853</v>
      </c>
      <c r="BF330" s="60" t="str">
        <f t="shared" si="299"/>
        <v>0.23395395183298+0.200404553630563i</v>
      </c>
      <c r="BG330" s="66">
        <f t="shared" si="300"/>
        <v>-10.227500947711171</v>
      </c>
      <c r="BH330" s="63">
        <f t="shared" si="301"/>
        <v>40.583302911045131</v>
      </c>
      <c r="BI330" s="60" t="e">
        <f t="shared" si="306"/>
        <v>#NUM!</v>
      </c>
      <c r="BJ330" s="66" t="e">
        <f t="shared" si="302"/>
        <v>#NUM!</v>
      </c>
      <c r="BK330" s="63" t="e">
        <f t="shared" si="307"/>
        <v>#NUM!</v>
      </c>
      <c r="BL330" s="51">
        <f t="shared" si="303"/>
        <v>-10.227500947711171</v>
      </c>
      <c r="BM330" s="63">
        <f t="shared" si="304"/>
        <v>40.583302911045131</v>
      </c>
    </row>
    <row r="331" spans="14:65" x14ac:dyDescent="0.3">
      <c r="N331" s="11">
        <v>13</v>
      </c>
      <c r="O331" s="52">
        <f t="shared" si="308"/>
        <v>13489.628825916556</v>
      </c>
      <c r="P331" s="50" t="str">
        <f t="shared" si="257"/>
        <v>23.3035714285714</v>
      </c>
      <c r="Q331" s="18" t="str">
        <f t="shared" si="258"/>
        <v>1+45.4059844490919i</v>
      </c>
      <c r="R331" s="18">
        <f t="shared" si="269"/>
        <v>45.416994878472259</v>
      </c>
      <c r="S331" s="18">
        <f t="shared" si="270"/>
        <v>1.5487763578290938</v>
      </c>
      <c r="T331" s="18" t="str">
        <f t="shared" si="259"/>
        <v>1+0.0847578376383051i</v>
      </c>
      <c r="U331" s="18">
        <f t="shared" si="271"/>
        <v>1.003585517552501</v>
      </c>
      <c r="V331" s="18">
        <f t="shared" si="272"/>
        <v>8.4555744325386234E-2</v>
      </c>
      <c r="W331" s="32" t="str">
        <f t="shared" si="260"/>
        <v>1-0.207185825338079i</v>
      </c>
      <c r="X331" s="18">
        <f t="shared" si="273"/>
        <v>1.0212374680851761</v>
      </c>
      <c r="Y331" s="18">
        <f t="shared" si="274"/>
        <v>-0.20429536287804828</v>
      </c>
      <c r="Z331" s="32" t="str">
        <f t="shared" si="261"/>
        <v>0.999272119656556+0.101686096760616i</v>
      </c>
      <c r="AA331" s="18">
        <f t="shared" si="275"/>
        <v>1.0044325917637857</v>
      </c>
      <c r="AB331" s="18">
        <f t="shared" si="276"/>
        <v>0.10141108566610285</v>
      </c>
      <c r="AC331" s="68" t="str">
        <f t="shared" si="277"/>
        <v>-0.103568748887448-0.513211470243905i</v>
      </c>
      <c r="AD331" s="66">
        <f t="shared" si="278"/>
        <v>-5.620711611216306</v>
      </c>
      <c r="AE331" s="63">
        <f t="shared" si="279"/>
        <v>-101.40935070133172</v>
      </c>
      <c r="AF331" s="51" t="e">
        <f t="shared" si="280"/>
        <v>#NUM!</v>
      </c>
      <c r="AG331" s="51" t="str">
        <f t="shared" si="262"/>
        <v>1-63.568378228729i</v>
      </c>
      <c r="AH331" s="51">
        <f t="shared" si="281"/>
        <v>63.576243288124118</v>
      </c>
      <c r="AI331" s="51">
        <f t="shared" si="282"/>
        <v>-1.5550665323432615</v>
      </c>
      <c r="AJ331" s="51" t="str">
        <f t="shared" si="263"/>
        <v>1+0.0847578376383051i</v>
      </c>
      <c r="AK331" s="51">
        <f t="shared" si="283"/>
        <v>1.003585517552501</v>
      </c>
      <c r="AL331" s="51">
        <f t="shared" si="284"/>
        <v>8.4555744325386234E-2</v>
      </c>
      <c r="AM331" s="51" t="e">
        <f t="shared" si="264"/>
        <v>#NUM!</v>
      </c>
      <c r="AN331" s="51" t="e">
        <f t="shared" si="285"/>
        <v>#NUM!</v>
      </c>
      <c r="AO331" s="51" t="e">
        <f t="shared" si="286"/>
        <v>#NUM!</v>
      </c>
      <c r="AP331" s="60" t="e">
        <f t="shared" si="287"/>
        <v>#NUM!</v>
      </c>
      <c r="AQ331" s="51" t="e">
        <f t="shared" si="288"/>
        <v>#NUM!</v>
      </c>
      <c r="AR331" s="63" t="e">
        <f t="shared" si="289"/>
        <v>#NUM!</v>
      </c>
      <c r="AS331" s="32" t="str">
        <f t="shared" si="265"/>
        <v>-0.000170731707317073</v>
      </c>
      <c r="AT331" s="32" t="str">
        <f t="shared" si="266"/>
        <v>0.00322079783025559i</v>
      </c>
      <c r="AU331" s="32">
        <f t="shared" si="290"/>
        <v>3.22079783025559E-3</v>
      </c>
      <c r="AV331" s="32">
        <f t="shared" si="291"/>
        <v>1.5707963267948966</v>
      </c>
      <c r="AW331" s="32" t="str">
        <f t="shared" si="267"/>
        <v>1+0.685735515882118i</v>
      </c>
      <c r="AX331" s="32">
        <f t="shared" si="292"/>
        <v>1.2125317306124879</v>
      </c>
      <c r="AY331" s="32">
        <f t="shared" si="293"/>
        <v>0.60108819464104568</v>
      </c>
      <c r="AZ331" s="32" t="str">
        <f t="shared" si="268"/>
        <v>1+13.0289748017603i</v>
      </c>
      <c r="BA331" s="32">
        <f t="shared" si="294"/>
        <v>13.067294455429741</v>
      </c>
      <c r="BB331" s="32">
        <f t="shared" si="295"/>
        <v>1.494194498721382</v>
      </c>
      <c r="BC331" s="60" t="str">
        <f t="shared" si="296"/>
        <v>-0.445034461127734+0.358185070887761i</v>
      </c>
      <c r="BD331" s="51">
        <f t="shared" si="297"/>
        <v>-4.8631343321141127</v>
      </c>
      <c r="BE331" s="63">
        <f t="shared" si="298"/>
        <v>141.17122188033085</v>
      </c>
      <c r="BF331" s="60" t="str">
        <f t="shared" si="299"/>
        <v>0.229916349200524+0.191300010442561i</v>
      </c>
      <c r="BG331" s="66">
        <f t="shared" si="300"/>
        <v>-10.483845943330422</v>
      </c>
      <c r="BH331" s="63">
        <f t="shared" si="301"/>
        <v>39.761871178999137</v>
      </c>
      <c r="BI331" s="60" t="e">
        <f t="shared" si="306"/>
        <v>#NUM!</v>
      </c>
      <c r="BJ331" s="66" t="e">
        <f t="shared" si="302"/>
        <v>#NUM!</v>
      </c>
      <c r="BK331" s="63" t="e">
        <f t="shared" si="307"/>
        <v>#NUM!</v>
      </c>
      <c r="BL331" s="51">
        <f t="shared" si="303"/>
        <v>-10.483845943330422</v>
      </c>
      <c r="BM331" s="63">
        <f t="shared" si="304"/>
        <v>39.761871178999137</v>
      </c>
    </row>
    <row r="332" spans="14:65" x14ac:dyDescent="0.3">
      <c r="N332" s="11">
        <v>14</v>
      </c>
      <c r="O332" s="52">
        <f t="shared" si="308"/>
        <v>13803.842646028841</v>
      </c>
      <c r="P332" s="50" t="str">
        <f t="shared" si="257"/>
        <v>23.3035714285714</v>
      </c>
      <c r="Q332" s="18" t="str">
        <f t="shared" si="258"/>
        <v>1+46.4636256943646i</v>
      </c>
      <c r="R332" s="18">
        <f t="shared" si="269"/>
        <v>46.474385554475255</v>
      </c>
      <c r="S332" s="18">
        <f t="shared" si="270"/>
        <v>1.5492774369948279</v>
      </c>
      <c r="T332" s="18" t="str">
        <f t="shared" si="259"/>
        <v>1+0.0867321012961474i</v>
      </c>
      <c r="U332" s="18">
        <f t="shared" si="271"/>
        <v>1.0037541817572893</v>
      </c>
      <c r="V332" s="18">
        <f t="shared" si="272"/>
        <v>8.6515598128515753E-2</v>
      </c>
      <c r="W332" s="32" t="str">
        <f t="shared" si="260"/>
        <v>1-0.21201180316836i</v>
      </c>
      <c r="X332" s="18">
        <f t="shared" si="273"/>
        <v>1.0222274720837332</v>
      </c>
      <c r="Y332" s="18">
        <f t="shared" si="274"/>
        <v>-0.2089182424588468</v>
      </c>
      <c r="Z332" s="32" t="str">
        <f t="shared" si="261"/>
        <v>0.999237815712815+0.10405467022752i</v>
      </c>
      <c r="AA332" s="18">
        <f t="shared" si="275"/>
        <v>1.0046410238222783</v>
      </c>
      <c r="AB332" s="18">
        <f t="shared" si="276"/>
        <v>0.1037600634647014</v>
      </c>
      <c r="AC332" s="68" t="str">
        <f t="shared" si="277"/>
        <v>-0.104072482165755-0.501435080611448i</v>
      </c>
      <c r="AD332" s="66">
        <f t="shared" si="278"/>
        <v>-5.8125432860395456</v>
      </c>
      <c r="AE332" s="63">
        <f t="shared" si="279"/>
        <v>-101.72522707455477</v>
      </c>
      <c r="AF332" s="51" t="e">
        <f t="shared" si="280"/>
        <v>#NUM!</v>
      </c>
      <c r="AG332" s="51" t="str">
        <f t="shared" si="262"/>
        <v>1-65.0490759721107i</v>
      </c>
      <c r="AH332" s="51">
        <f t="shared" si="281"/>
        <v>65.056762022294265</v>
      </c>
      <c r="AI332" s="51">
        <f t="shared" si="282"/>
        <v>-1.5554245291211932</v>
      </c>
      <c r="AJ332" s="51" t="str">
        <f t="shared" si="263"/>
        <v>1+0.0867321012961474i</v>
      </c>
      <c r="AK332" s="51">
        <f t="shared" si="283"/>
        <v>1.0037541817572893</v>
      </c>
      <c r="AL332" s="51">
        <f t="shared" si="284"/>
        <v>8.6515598128515753E-2</v>
      </c>
      <c r="AM332" s="51" t="e">
        <f t="shared" si="264"/>
        <v>#NUM!</v>
      </c>
      <c r="AN332" s="51" t="e">
        <f t="shared" si="285"/>
        <v>#NUM!</v>
      </c>
      <c r="AO332" s="51" t="e">
        <f t="shared" si="286"/>
        <v>#NUM!</v>
      </c>
      <c r="AP332" s="60" t="e">
        <f t="shared" si="287"/>
        <v>#NUM!</v>
      </c>
      <c r="AQ332" s="51" t="e">
        <f t="shared" si="288"/>
        <v>#NUM!</v>
      </c>
      <c r="AR332" s="63" t="e">
        <f t="shared" si="289"/>
        <v>#NUM!</v>
      </c>
      <c r="AS332" s="32" t="str">
        <f t="shared" si="265"/>
        <v>-0.000170731707317073</v>
      </c>
      <c r="AT332" s="32" t="str">
        <f t="shared" si="266"/>
        <v>0.0032958198492536i</v>
      </c>
      <c r="AU332" s="32">
        <f t="shared" si="290"/>
        <v>3.2958198492535999E-3</v>
      </c>
      <c r="AV332" s="32">
        <f t="shared" si="291"/>
        <v>1.5707963267948966</v>
      </c>
      <c r="AW332" s="32" t="str">
        <f t="shared" si="267"/>
        <v>1+0.701708347960198i</v>
      </c>
      <c r="AX332" s="32">
        <f t="shared" si="292"/>
        <v>1.2216360364679122</v>
      </c>
      <c r="AY332" s="32">
        <f t="shared" si="293"/>
        <v>0.61187158668971853</v>
      </c>
      <c r="AZ332" s="32" t="str">
        <f t="shared" si="268"/>
        <v>1+13.3324586112438i</v>
      </c>
      <c r="BA332" s="32">
        <f t="shared" si="294"/>
        <v>13.369908474650416</v>
      </c>
      <c r="BB332" s="32">
        <f t="shared" si="295"/>
        <v>1.4959315859751061</v>
      </c>
      <c r="BC332" s="60" t="str">
        <f t="shared" si="296"/>
        <v>-0.438425893818822+0.359449609525966i</v>
      </c>
      <c r="BD332" s="51">
        <f t="shared" si="297"/>
        <v>-4.9292536542156027</v>
      </c>
      <c r="BE332" s="63">
        <f t="shared" si="298"/>
        <v>140.65290679539126</v>
      </c>
      <c r="BF332" s="60" t="str">
        <f t="shared" si="299"/>
        <v>0.225868714943871+0.182433310332308i</v>
      </c>
      <c r="BG332" s="66">
        <f t="shared" si="300"/>
        <v>-10.741796940255153</v>
      </c>
      <c r="BH332" s="63">
        <f t="shared" si="301"/>
        <v>38.92767972083638</v>
      </c>
      <c r="BI332" s="60" t="e">
        <f t="shared" si="306"/>
        <v>#NUM!</v>
      </c>
      <c r="BJ332" s="66" t="e">
        <f t="shared" si="302"/>
        <v>#NUM!</v>
      </c>
      <c r="BK332" s="63" t="e">
        <f t="shared" si="307"/>
        <v>#NUM!</v>
      </c>
      <c r="BL332" s="51">
        <f t="shared" si="303"/>
        <v>-10.741796940255153</v>
      </c>
      <c r="BM332" s="63">
        <f t="shared" si="304"/>
        <v>38.92767972083638</v>
      </c>
    </row>
    <row r="333" spans="14:65" x14ac:dyDescent="0.3">
      <c r="N333" s="11">
        <v>15</v>
      </c>
      <c r="O333" s="52">
        <f t="shared" si="308"/>
        <v>14125.375446227561</v>
      </c>
      <c r="P333" s="50" t="str">
        <f t="shared" si="257"/>
        <v>23.3035714285714</v>
      </c>
      <c r="Q333" s="18" t="str">
        <f t="shared" si="258"/>
        <v>1+47.5459025689994i</v>
      </c>
      <c r="R333" s="18">
        <f t="shared" si="269"/>
        <v>47.556417559576374</v>
      </c>
      <c r="S333" s="18">
        <f t="shared" si="270"/>
        <v>1.5497671206496866</v>
      </c>
      <c r="T333" s="18" t="str">
        <f t="shared" si="259"/>
        <v>1+0.0887523514621323i</v>
      </c>
      <c r="U333" s="18">
        <f t="shared" si="271"/>
        <v>1.0039307644902897</v>
      </c>
      <c r="V333" s="18">
        <f t="shared" si="272"/>
        <v>8.8520413167354497E-2</v>
      </c>
      <c r="W333" s="32" t="str">
        <f t="shared" si="260"/>
        <v>1-0.21695019246299i</v>
      </c>
      <c r="X333" s="18">
        <f t="shared" si="273"/>
        <v>1.0232631069327811</v>
      </c>
      <c r="Y333" s="18">
        <f t="shared" si="274"/>
        <v>-0.21363943890295689</v>
      </c>
      <c r="Z333" s="32" t="str">
        <f t="shared" si="261"/>
        <v>0.999201895074012+0.106478414857907i</v>
      </c>
      <c r="AA333" s="18">
        <f t="shared" si="275"/>
        <v>1.0048592338980367</v>
      </c>
      <c r="AB333" s="18">
        <f t="shared" si="276"/>
        <v>0.1061628198081716</v>
      </c>
      <c r="AC333" s="68" t="str">
        <f t="shared" si="277"/>
        <v>-0.104552924029751-0.489923629869676i</v>
      </c>
      <c r="AD333" s="66">
        <f t="shared" si="278"/>
        <v>-6.0040159097154735</v>
      </c>
      <c r="AE333" s="63">
        <f t="shared" si="279"/>
        <v>-102.04658886902378</v>
      </c>
      <c r="AF333" s="51" t="e">
        <f t="shared" si="280"/>
        <v>#NUM!</v>
      </c>
      <c r="AG333" s="51" t="str">
        <f t="shared" si="262"/>
        <v>1-66.5642635965994i</v>
      </c>
      <c r="AH333" s="51">
        <f t="shared" si="281"/>
        <v>66.571774710890566</v>
      </c>
      <c r="AI333" s="51">
        <f t="shared" si="282"/>
        <v>-1.5557743807052231</v>
      </c>
      <c r="AJ333" s="51" t="str">
        <f t="shared" si="263"/>
        <v>1+0.0887523514621323i</v>
      </c>
      <c r="AK333" s="51">
        <f t="shared" si="283"/>
        <v>1.0039307644902897</v>
      </c>
      <c r="AL333" s="51">
        <f t="shared" si="284"/>
        <v>8.8520413167354497E-2</v>
      </c>
      <c r="AM333" s="51" t="e">
        <f t="shared" si="264"/>
        <v>#NUM!</v>
      </c>
      <c r="AN333" s="51" t="e">
        <f t="shared" si="285"/>
        <v>#NUM!</v>
      </c>
      <c r="AO333" s="51" t="e">
        <f t="shared" si="286"/>
        <v>#NUM!</v>
      </c>
      <c r="AP333" s="60" t="e">
        <f t="shared" si="287"/>
        <v>#NUM!</v>
      </c>
      <c r="AQ333" s="51" t="e">
        <f t="shared" si="288"/>
        <v>#NUM!</v>
      </c>
      <c r="AR333" s="63" t="e">
        <f t="shared" si="289"/>
        <v>#NUM!</v>
      </c>
      <c r="AS333" s="32" t="str">
        <f t="shared" si="265"/>
        <v>-0.000170731707317073</v>
      </c>
      <c r="AT333" s="32" t="str">
        <f t="shared" si="266"/>
        <v>0.00337258935556103i</v>
      </c>
      <c r="AU333" s="32">
        <f t="shared" si="290"/>
        <v>3.3725893555610299E-3</v>
      </c>
      <c r="AV333" s="32">
        <f t="shared" si="291"/>
        <v>1.5707963267948966</v>
      </c>
      <c r="AW333" s="32" t="str">
        <f t="shared" si="267"/>
        <v>1+0.718053235092577i</v>
      </c>
      <c r="AX333" s="32">
        <f t="shared" si="292"/>
        <v>1.2310972538458997</v>
      </c>
      <c r="AY333" s="32">
        <f t="shared" si="293"/>
        <v>0.62273975305401952</v>
      </c>
      <c r="AZ333" s="32" t="str">
        <f t="shared" si="268"/>
        <v>1+13.643011466759i</v>
      </c>
      <c r="BA333" s="32">
        <f t="shared" si="294"/>
        <v>13.679611174376175</v>
      </c>
      <c r="BB333" s="32">
        <f t="shared" si="295"/>
        <v>1.4976295697970554</v>
      </c>
      <c r="BC333" s="60" t="str">
        <f t="shared" si="296"/>
        <v>-0.431713014843975+0.360616257953164i</v>
      </c>
      <c r="BD333" s="51">
        <f t="shared" si="297"/>
        <v>-4.9973578188253249</v>
      </c>
      <c r="BE333" s="63">
        <f t="shared" si="298"/>
        <v>140.12749403834994</v>
      </c>
      <c r="BF333" s="60" t="str">
        <f t="shared" si="299"/>
        <v>0.22181128413007+0.173802923072671i</v>
      </c>
      <c r="BG333" s="66">
        <f t="shared" si="300"/>
        <v>-11.001373728540813</v>
      </c>
      <c r="BH333" s="63">
        <f t="shared" si="301"/>
        <v>38.080905169326158</v>
      </c>
      <c r="BI333" s="60" t="e">
        <f t="shared" si="306"/>
        <v>#NUM!</v>
      </c>
      <c r="BJ333" s="66" t="e">
        <f t="shared" si="302"/>
        <v>#NUM!</v>
      </c>
      <c r="BK333" s="63" t="e">
        <f t="shared" si="307"/>
        <v>#NUM!</v>
      </c>
      <c r="BL333" s="51">
        <f t="shared" si="303"/>
        <v>-11.001373728540813</v>
      </c>
      <c r="BM333" s="63">
        <f t="shared" si="304"/>
        <v>38.080905169326158</v>
      </c>
    </row>
    <row r="334" spans="14:65" x14ac:dyDescent="0.3">
      <c r="N334" s="11">
        <v>16</v>
      </c>
      <c r="O334" s="52">
        <f t="shared" si="308"/>
        <v>14454.397707459291</v>
      </c>
      <c r="P334" s="50" t="str">
        <f t="shared" si="257"/>
        <v>23.3035714285714</v>
      </c>
      <c r="Q334" s="18" t="str">
        <f t="shared" si="258"/>
        <v>1+48.6533889105205i</v>
      </c>
      <c r="R334" s="18">
        <f t="shared" si="269"/>
        <v>48.663664601819278</v>
      </c>
      <c r="S334" s="18">
        <f t="shared" si="270"/>
        <v>1.5502456674905163</v>
      </c>
      <c r="T334" s="18" t="str">
        <f t="shared" si="259"/>
        <v>1+0.0908196592996385i</v>
      </c>
      <c r="U334" s="18">
        <f t="shared" si="271"/>
        <v>1.004115636027695</v>
      </c>
      <c r="V334" s="18">
        <f t="shared" si="272"/>
        <v>9.0571187922277294E-2</v>
      </c>
      <c r="W334" s="32" t="str">
        <f t="shared" si="260"/>
        <v>1-0.222003611621339i</v>
      </c>
      <c r="X334" s="18">
        <f t="shared" si="273"/>
        <v>1.0243464275199667</v>
      </c>
      <c r="Y334" s="18">
        <f t="shared" si="274"/>
        <v>-0.21846061318920595</v>
      </c>
      <c r="Z334" s="32" t="str">
        <f t="shared" si="261"/>
        <v>0.999164281547658+0.108958615753259i</v>
      </c>
      <c r="AA334" s="18">
        <f t="shared" si="275"/>
        <v>1.00508767849751</v>
      </c>
      <c r="AB334" s="18">
        <f t="shared" si="276"/>
        <v>0.10862054127016932</v>
      </c>
      <c r="AC334" s="68" t="str">
        <f t="shared" si="277"/>
        <v>-0.105011091584199-0.478671084725495i</v>
      </c>
      <c r="AD334" s="66">
        <f t="shared" si="278"/>
        <v>-6.1951137486387218</v>
      </c>
      <c r="AE334" s="63">
        <f t="shared" si="279"/>
        <v>-102.3735568510038</v>
      </c>
      <c r="AF334" s="51" t="e">
        <f t="shared" si="280"/>
        <v>#NUM!</v>
      </c>
      <c r="AG334" s="51" t="str">
        <f t="shared" si="262"/>
        <v>1-68.114744474729i</v>
      </c>
      <c r="AH334" s="51">
        <f t="shared" si="281"/>
        <v>68.122084633822126</v>
      </c>
      <c r="AI334" s="51">
        <f t="shared" si="282"/>
        <v>-1.5561162722485311</v>
      </c>
      <c r="AJ334" s="51" t="str">
        <f t="shared" si="263"/>
        <v>1+0.0908196592996385i</v>
      </c>
      <c r="AK334" s="51">
        <f t="shared" si="283"/>
        <v>1.004115636027695</v>
      </c>
      <c r="AL334" s="51">
        <f t="shared" si="284"/>
        <v>9.0571187922277294E-2</v>
      </c>
      <c r="AM334" s="51" t="e">
        <f t="shared" si="264"/>
        <v>#NUM!</v>
      </c>
      <c r="AN334" s="51" t="e">
        <f t="shared" si="285"/>
        <v>#NUM!</v>
      </c>
      <c r="AO334" s="51" t="e">
        <f t="shared" si="286"/>
        <v>#NUM!</v>
      </c>
      <c r="AP334" s="60" t="e">
        <f t="shared" si="287"/>
        <v>#NUM!</v>
      </c>
      <c r="AQ334" s="51" t="e">
        <f t="shared" si="288"/>
        <v>#NUM!</v>
      </c>
      <c r="AR334" s="63" t="e">
        <f t="shared" si="289"/>
        <v>#NUM!</v>
      </c>
      <c r="AS334" s="32" t="str">
        <f t="shared" si="265"/>
        <v>-0.000170731707317073</v>
      </c>
      <c r="AT334" s="32" t="str">
        <f t="shared" si="266"/>
        <v>0.00345114705338626i</v>
      </c>
      <c r="AU334" s="32">
        <f t="shared" si="290"/>
        <v>3.4511470533862602E-3</v>
      </c>
      <c r="AV334" s="32">
        <f t="shared" si="291"/>
        <v>1.5707963267948966</v>
      </c>
      <c r="AW334" s="32" t="str">
        <f t="shared" si="267"/>
        <v>1+0.734778843554759i</v>
      </c>
      <c r="AX334" s="32">
        <f t="shared" si="292"/>
        <v>1.2409270522217126</v>
      </c>
      <c r="AY334" s="32">
        <f t="shared" si="293"/>
        <v>0.63368818662116699</v>
      </c>
      <c r="AZ334" s="32" t="str">
        <f t="shared" si="268"/>
        <v>1+13.9607980275404i</v>
      </c>
      <c r="BA334" s="32">
        <f t="shared" si="294"/>
        <v>13.996566777812907</v>
      </c>
      <c r="BB334" s="32">
        <f t="shared" si="295"/>
        <v>1.4992893112944683</v>
      </c>
      <c r="BC334" s="60" t="str">
        <f t="shared" si="296"/>
        <v>-0.424900617304064+0.361678987522935i</v>
      </c>
      <c r="BD334" s="51">
        <f t="shared" si="297"/>
        <v>-5.0674802691228464</v>
      </c>
      <c r="BE334" s="63">
        <f t="shared" si="298"/>
        <v>139.59529118555747</v>
      </c>
      <c r="BF334" s="60" t="str">
        <f t="shared" si="299"/>
        <v>0.217744550917922+0.165407334102617i</v>
      </c>
      <c r="BG334" s="66">
        <f t="shared" si="300"/>
        <v>-11.262594017761572</v>
      </c>
      <c r="BH334" s="63">
        <f t="shared" si="301"/>
        <v>37.22173433455356</v>
      </c>
      <c r="BI334" s="60" t="e">
        <f t="shared" si="306"/>
        <v>#NUM!</v>
      </c>
      <c r="BJ334" s="66" t="e">
        <f t="shared" si="302"/>
        <v>#NUM!</v>
      </c>
      <c r="BK334" s="63" t="e">
        <f t="shared" si="307"/>
        <v>#NUM!</v>
      </c>
      <c r="BL334" s="51">
        <f t="shared" si="303"/>
        <v>-11.262594017761572</v>
      </c>
      <c r="BM334" s="63">
        <f t="shared" si="304"/>
        <v>37.22173433455356</v>
      </c>
    </row>
    <row r="335" spans="14:65" x14ac:dyDescent="0.3">
      <c r="N335" s="11">
        <v>17</v>
      </c>
      <c r="O335" s="52">
        <f t="shared" si="308"/>
        <v>14791.083881682089</v>
      </c>
      <c r="P335" s="50" t="str">
        <f t="shared" si="257"/>
        <v>23.3035714285714</v>
      </c>
      <c r="Q335" s="18" t="str">
        <f t="shared" si="258"/>
        <v>1+49.7866719228458i</v>
      </c>
      <c r="R335" s="18">
        <f t="shared" si="269"/>
        <v>49.796713758571272</v>
      </c>
      <c r="S335" s="18">
        <f t="shared" si="270"/>
        <v>1.5507133303719591</v>
      </c>
      <c r="T335" s="18" t="str">
        <f t="shared" si="259"/>
        <v>1+0.0929351209226457i</v>
      </c>
      <c r="U335" s="18">
        <f t="shared" si="271"/>
        <v>1.0043091838178653</v>
      </c>
      <c r="V335" s="18">
        <f t="shared" si="272"/>
        <v>9.2668940703845334E-2</v>
      </c>
      <c r="W335" s="32" t="str">
        <f t="shared" si="260"/>
        <v>1-0.227174740033134i</v>
      </c>
      <c r="X335" s="18">
        <f t="shared" si="273"/>
        <v>1.0254795768366729</v>
      </c>
      <c r="Y335" s="18">
        <f t="shared" si="274"/>
        <v>-0.22338342466099145</v>
      </c>
      <c r="Z335" s="32" t="str">
        <f t="shared" si="261"/>
        <v>0.99912489535042+0.111496587948921i</v>
      </c>
      <c r="AA335" s="18">
        <f t="shared" si="275"/>
        <v>1.0053268352298366</v>
      </c>
      <c r="AB335" s="18">
        <f t="shared" si="276"/>
        <v>0.11113443744080348</v>
      </c>
      <c r="AC335" s="68" t="str">
        <f t="shared" si="277"/>
        <v>-0.105447955012927-0.467671545058076i</v>
      </c>
      <c r="AD335" s="66">
        <f t="shared" si="278"/>
        <v>-6.3858204869777433</v>
      </c>
      <c r="AE335" s="63">
        <f t="shared" si="279"/>
        <v>-102.70625154088299</v>
      </c>
      <c r="AF335" s="51" t="e">
        <f t="shared" si="280"/>
        <v>#NUM!</v>
      </c>
      <c r="AG335" s="51" t="str">
        <f t="shared" si="262"/>
        <v>1-69.7013406919844i</v>
      </c>
      <c r="AH335" s="51">
        <f t="shared" si="281"/>
        <v>69.708513786051128</v>
      </c>
      <c r="AI335" s="51">
        <f t="shared" si="282"/>
        <v>-1.5564503847066464</v>
      </c>
      <c r="AJ335" s="51" t="str">
        <f t="shared" si="263"/>
        <v>1+0.0929351209226457i</v>
      </c>
      <c r="AK335" s="51">
        <f t="shared" si="283"/>
        <v>1.0043091838178653</v>
      </c>
      <c r="AL335" s="51">
        <f t="shared" si="284"/>
        <v>9.2668940703845334E-2</v>
      </c>
      <c r="AM335" s="51" t="e">
        <f t="shared" si="264"/>
        <v>#NUM!</v>
      </c>
      <c r="AN335" s="51" t="e">
        <f t="shared" si="285"/>
        <v>#NUM!</v>
      </c>
      <c r="AO335" s="51" t="e">
        <f t="shared" si="286"/>
        <v>#NUM!</v>
      </c>
      <c r="AP335" s="60" t="e">
        <f t="shared" si="287"/>
        <v>#NUM!</v>
      </c>
      <c r="AQ335" s="51" t="e">
        <f t="shared" si="288"/>
        <v>#NUM!</v>
      </c>
      <c r="AR335" s="63" t="e">
        <f t="shared" si="289"/>
        <v>#NUM!</v>
      </c>
      <c r="AS335" s="32" t="str">
        <f t="shared" si="265"/>
        <v>-0.000170731707317073</v>
      </c>
      <c r="AT335" s="32" t="str">
        <f t="shared" si="266"/>
        <v>0.00353153459506054i</v>
      </c>
      <c r="AU335" s="32">
        <f t="shared" si="290"/>
        <v>3.5315345950605401E-3</v>
      </c>
      <c r="AV335" s="32">
        <f t="shared" si="291"/>
        <v>1.5707963267948966</v>
      </c>
      <c r="AW335" s="32" t="str">
        <f t="shared" si="267"/>
        <v>1+0.751894041485741i</v>
      </c>
      <c r="AX335" s="32">
        <f t="shared" si="292"/>
        <v>1.2511373424295837</v>
      </c>
      <c r="AY335" s="32">
        <f t="shared" si="293"/>
        <v>0.64471219370587751</v>
      </c>
      <c r="AZ335" s="32" t="str">
        <f t="shared" si="268"/>
        <v>1+14.2859867882291i</v>
      </c>
      <c r="BA335" s="32">
        <f t="shared" si="294"/>
        <v>14.3209433527773</v>
      </c>
      <c r="BB335" s="32">
        <f t="shared" si="295"/>
        <v>1.5009116538864726</v>
      </c>
      <c r="BC335" s="60" t="str">
        <f t="shared" si="296"/>
        <v>-0.417993851416277+0.362631992054582i</v>
      </c>
      <c r="BD335" s="51">
        <f t="shared" si="297"/>
        <v>-5.1396528278255849</v>
      </c>
      <c r="BE335" s="63">
        <f t="shared" si="298"/>
        <v>139.05661548972745</v>
      </c>
      <c r="BF335" s="60" t="str">
        <f t="shared" si="299"/>
        <v>0.213669260851478+0.157245028332206i</v>
      </c>
      <c r="BG335" s="66">
        <f t="shared" si="300"/>
        <v>-11.525473314803339</v>
      </c>
      <c r="BH335" s="63">
        <f t="shared" si="301"/>
        <v>36.350363948844389</v>
      </c>
      <c r="BI335" s="60" t="e">
        <f t="shared" si="306"/>
        <v>#NUM!</v>
      </c>
      <c r="BJ335" s="66" t="e">
        <f t="shared" si="302"/>
        <v>#NUM!</v>
      </c>
      <c r="BK335" s="63" t="e">
        <f t="shared" si="307"/>
        <v>#NUM!</v>
      </c>
      <c r="BL335" s="51">
        <f t="shared" si="303"/>
        <v>-11.525473314803339</v>
      </c>
      <c r="BM335" s="63">
        <f t="shared" si="304"/>
        <v>36.350363948844389</v>
      </c>
    </row>
    <row r="336" spans="14:65" x14ac:dyDescent="0.3">
      <c r="N336" s="11">
        <v>18</v>
      </c>
      <c r="O336" s="52">
        <f t="shared" si="308"/>
        <v>15135.612484362096</v>
      </c>
      <c r="P336" s="50" t="str">
        <f t="shared" si="257"/>
        <v>23.3035714285714</v>
      </c>
      <c r="Q336" s="18" t="str">
        <f t="shared" si="258"/>
        <v>1+50.9463524876291i</v>
      </c>
      <c r="R336" s="18">
        <f t="shared" si="269"/>
        <v>50.956165787799918</v>
      </c>
      <c r="S336" s="18">
        <f t="shared" si="270"/>
        <v>1.5511703564363406</v>
      </c>
      <c r="T336" s="18" t="str">
        <f t="shared" si="259"/>
        <v>1+0.0950998579769078i</v>
      </c>
      <c r="U336" s="18">
        <f t="shared" si="271"/>
        <v>1.0045118132641486</v>
      </c>
      <c r="V336" s="18">
        <f t="shared" si="272"/>
        <v>9.481470987714069E-2</v>
      </c>
      <c r="W336" s="32" t="str">
        <f t="shared" si="260"/>
        <v>1-0.232466319499108i</v>
      </c>
      <c r="X336" s="18">
        <f t="shared" si="273"/>
        <v>1.026664789355056</v>
      </c>
      <c r="Y336" s="18">
        <f t="shared" si="274"/>
        <v>-0.22840952862737965</v>
      </c>
      <c r="Z336" s="32" t="str">
        <f t="shared" si="261"/>
        <v>0.999083652938893+0.114093677111346i</v>
      </c>
      <c r="AA336" s="18">
        <f t="shared" si="275"/>
        <v>1.0055772037623518</v>
      </c>
      <c r="AB336" s="18">
        <f t="shared" si="276"/>
        <v>0.11370574114466427</v>
      </c>
      <c r="AC336" s="68" t="str">
        <f t="shared" si="277"/>
        <v>-0.10586443962237-0.456919241103208i</v>
      </c>
      <c r="AD336" s="66">
        <f t="shared" si="278"/>
        <v>-6.5761192106032986</v>
      </c>
      <c r="AE336" s="63">
        <f t="shared" si="279"/>
        <v>-103.04479308280604</v>
      </c>
      <c r="AF336" s="51" t="e">
        <f t="shared" si="280"/>
        <v>#NUM!</v>
      </c>
      <c r="AG336" s="51" t="str">
        <f t="shared" si="262"/>
        <v>1-71.324893482681i</v>
      </c>
      <c r="AH336" s="51">
        <f t="shared" si="281"/>
        <v>71.331903313424846</v>
      </c>
      <c r="AI336" s="51">
        <f t="shared" si="282"/>
        <v>-1.556776894931867</v>
      </c>
      <c r="AJ336" s="51" t="str">
        <f t="shared" si="263"/>
        <v>1+0.0950998579769078i</v>
      </c>
      <c r="AK336" s="51">
        <f t="shared" si="283"/>
        <v>1.0045118132641486</v>
      </c>
      <c r="AL336" s="51">
        <f t="shared" si="284"/>
        <v>9.481470987714069E-2</v>
      </c>
      <c r="AM336" s="51" t="e">
        <f t="shared" si="264"/>
        <v>#NUM!</v>
      </c>
      <c r="AN336" s="51" t="e">
        <f t="shared" si="285"/>
        <v>#NUM!</v>
      </c>
      <c r="AO336" s="51" t="e">
        <f t="shared" si="286"/>
        <v>#NUM!</v>
      </c>
      <c r="AP336" s="60" t="e">
        <f t="shared" si="287"/>
        <v>#NUM!</v>
      </c>
      <c r="AQ336" s="51" t="e">
        <f t="shared" si="288"/>
        <v>#NUM!</v>
      </c>
      <c r="AR336" s="63" t="e">
        <f t="shared" si="289"/>
        <v>#NUM!</v>
      </c>
      <c r="AS336" s="32" t="str">
        <f t="shared" si="265"/>
        <v>-0.000170731707317073</v>
      </c>
      <c r="AT336" s="32" t="str">
        <f t="shared" si="266"/>
        <v>0.0036137946031225i</v>
      </c>
      <c r="AU336" s="32">
        <f t="shared" si="290"/>
        <v>3.6137946031224999E-3</v>
      </c>
      <c r="AV336" s="32">
        <f t="shared" si="291"/>
        <v>1.5707963267948966</v>
      </c>
      <c r="AW336" s="32" t="str">
        <f t="shared" si="267"/>
        <v>1+0.769407903590013i</v>
      </c>
      <c r="AX336" s="32">
        <f t="shared" si="292"/>
        <v>1.2617402752178353</v>
      </c>
      <c r="AY336" s="32">
        <f t="shared" si="293"/>
        <v>0.65580690187050572</v>
      </c>
      <c r="AZ336" s="32" t="str">
        <f t="shared" si="268"/>
        <v>1+14.6187501682103i</v>
      </c>
      <c r="BA336" s="32">
        <f t="shared" si="294"/>
        <v>14.652912900872257</v>
      </c>
      <c r="BB336" s="32">
        <f t="shared" si="295"/>
        <v>1.5024974235814224</v>
      </c>
      <c r="BC336" s="60" t="str">
        <f t="shared" si="296"/>
        <v>-0.410998213745525+0.363469715405622i</v>
      </c>
      <c r="BD336" s="51">
        <f t="shared" si="297"/>
        <v>-5.2139055939485468</v>
      </c>
      <c r="BE336" s="63">
        <f t="shared" si="298"/>
        <v>138.51179344776531</v>
      </c>
      <c r="BF336" s="60" t="str">
        <f t="shared" si="299"/>
        <v>0.209586402111101+0.149314474178261i</v>
      </c>
      <c r="BG336" s="66">
        <f t="shared" si="300"/>
        <v>-11.790024804551837</v>
      </c>
      <c r="BH336" s="63">
        <f t="shared" si="301"/>
        <v>35.46700036495929</v>
      </c>
      <c r="BI336" s="60" t="e">
        <f t="shared" si="306"/>
        <v>#NUM!</v>
      </c>
      <c r="BJ336" s="66" t="e">
        <f t="shared" si="302"/>
        <v>#NUM!</v>
      </c>
      <c r="BK336" s="63" t="e">
        <f t="shared" si="307"/>
        <v>#NUM!</v>
      </c>
      <c r="BL336" s="51">
        <f t="shared" si="303"/>
        <v>-11.790024804551837</v>
      </c>
      <c r="BM336" s="63">
        <f t="shared" si="304"/>
        <v>35.46700036495929</v>
      </c>
    </row>
    <row r="337" spans="14:65" x14ac:dyDescent="0.3">
      <c r="N337" s="11">
        <v>19</v>
      </c>
      <c r="O337" s="52">
        <f t="shared" si="308"/>
        <v>15488.166189124853</v>
      </c>
      <c r="P337" s="50" t="str">
        <f t="shared" si="257"/>
        <v>23.3035714285714</v>
      </c>
      <c r="Q337" s="18" t="str">
        <f t="shared" si="258"/>
        <v>1+52.1330454828561i</v>
      </c>
      <c r="R337" s="18">
        <f t="shared" si="269"/>
        <v>52.142635446604942</v>
      </c>
      <c r="S337" s="18">
        <f t="shared" si="270"/>
        <v>1.551616987240809</v>
      </c>
      <c r="T337" s="18" t="str">
        <f t="shared" si="259"/>
        <v>1+0.0973150182346649i</v>
      </c>
      <c r="U337" s="18">
        <f t="shared" si="271"/>
        <v>1.0047239485420925</v>
      </c>
      <c r="V337" s="18">
        <f t="shared" si="272"/>
        <v>9.7009554075240173E-2</v>
      </c>
      <c r="W337" s="32" t="str">
        <f t="shared" si="260"/>
        <v>1-0.237881155684736i</v>
      </c>
      <c r="X337" s="18">
        <f t="shared" si="273"/>
        <v>1.0279043944987811</v>
      </c>
      <c r="Y337" s="18">
        <f t="shared" si="274"/>
        <v>-0.23354057379578189</v>
      </c>
      <c r="Z337" s="32" t="str">
        <f t="shared" si="261"/>
        <v>0.999040466832392+0.116751260251583i</v>
      </c>
      <c r="AA337" s="18">
        <f t="shared" si="275"/>
        <v>1.0058393068174543</v>
      </c>
      <c r="AB337" s="18">
        <f t="shared" si="276"/>
        <v>0.11633570864267007</v>
      </c>
      <c r="AC337" s="68" t="str">
        <f t="shared" si="277"/>
        <v>-0.106261427792505-0.446408530688571i</v>
      </c>
      <c r="AD337" s="66">
        <f t="shared" si="278"/>
        <v>-6.765992391265522</v>
      </c>
      <c r="AE337" s="63">
        <f t="shared" si="279"/>
        <v>-103.38930110419548</v>
      </c>
      <c r="AF337" s="51" t="e">
        <f t="shared" si="280"/>
        <v>#NUM!</v>
      </c>
      <c r="AG337" s="51" t="str">
        <f t="shared" si="262"/>
        <v>1-72.9862636759989i</v>
      </c>
      <c r="AH337" s="51">
        <f t="shared" si="281"/>
        <v>72.9931139586635</v>
      </c>
      <c r="AI337" s="51">
        <f t="shared" si="282"/>
        <v>-1.5570959757656049</v>
      </c>
      <c r="AJ337" s="51" t="str">
        <f t="shared" si="263"/>
        <v>1+0.0973150182346649i</v>
      </c>
      <c r="AK337" s="51">
        <f t="shared" si="283"/>
        <v>1.0047239485420925</v>
      </c>
      <c r="AL337" s="51">
        <f t="shared" si="284"/>
        <v>9.7009554075240173E-2</v>
      </c>
      <c r="AM337" s="51" t="e">
        <f t="shared" si="264"/>
        <v>#NUM!</v>
      </c>
      <c r="AN337" s="51" t="e">
        <f t="shared" si="285"/>
        <v>#NUM!</v>
      </c>
      <c r="AO337" s="51" t="e">
        <f t="shared" si="286"/>
        <v>#NUM!</v>
      </c>
      <c r="AP337" s="60" t="e">
        <f t="shared" si="287"/>
        <v>#NUM!</v>
      </c>
      <c r="AQ337" s="51" t="e">
        <f t="shared" si="288"/>
        <v>#NUM!</v>
      </c>
      <c r="AR337" s="63" t="e">
        <f t="shared" si="289"/>
        <v>#NUM!</v>
      </c>
      <c r="AS337" s="32" t="str">
        <f t="shared" si="265"/>
        <v>-0.000170731707317073</v>
      </c>
      <c r="AT337" s="32" t="str">
        <f t="shared" si="266"/>
        <v>0.00369797069291727i</v>
      </c>
      <c r="AU337" s="32">
        <f t="shared" si="290"/>
        <v>3.6979706929172701E-3</v>
      </c>
      <c r="AV337" s="32">
        <f t="shared" si="291"/>
        <v>1.5707963267948966</v>
      </c>
      <c r="AW337" s="32" t="str">
        <f t="shared" si="267"/>
        <v>1+0.787329715949088i</v>
      </c>
      <c r="AX337" s="32">
        <f t="shared" si="292"/>
        <v>1.2727482396831165</v>
      </c>
      <c r="AY337" s="32">
        <f t="shared" si="293"/>
        <v>0.66696726871789513</v>
      </c>
      <c r="AZ337" s="32" t="str">
        <f t="shared" si="268"/>
        <v>1+14.9592646030327i</v>
      </c>
      <c r="BA337" s="32">
        <f t="shared" si="294"/>
        <v>14.992651448744718</v>
      </c>
      <c r="BB337" s="32">
        <f t="shared" si="295"/>
        <v>1.5040474292560309</v>
      </c>
      <c r="BC337" s="60" t="str">
        <f t="shared" si="296"/>
        <v>-0.403919533895414+0.364186878496211i</v>
      </c>
      <c r="BD337" s="51">
        <f t="shared" si="297"/>
        <v>-5.2902668430652167</v>
      </c>
      <c r="BE337" s="63">
        <f t="shared" si="298"/>
        <v>137.96116031296853</v>
      </c>
      <c r="BF337" s="60" t="str">
        <f t="shared" si="299"/>
        <v>0.20549719571056+0.141614107950361i</v>
      </c>
      <c r="BG337" s="66">
        <f t="shared" si="300"/>
        <v>-12.05625923433076</v>
      </c>
      <c r="BH337" s="63">
        <f t="shared" si="301"/>
        <v>34.571859208773056</v>
      </c>
      <c r="BI337" s="60" t="e">
        <f t="shared" si="306"/>
        <v>#NUM!</v>
      </c>
      <c r="BJ337" s="66" t="e">
        <f t="shared" si="302"/>
        <v>#NUM!</v>
      </c>
      <c r="BK337" s="63" t="e">
        <f t="shared" si="307"/>
        <v>#NUM!</v>
      </c>
      <c r="BL337" s="51">
        <f t="shared" si="303"/>
        <v>-12.05625923433076</v>
      </c>
      <c r="BM337" s="63">
        <f t="shared" si="304"/>
        <v>34.571859208773056</v>
      </c>
    </row>
    <row r="338" spans="14:65" x14ac:dyDescent="0.3">
      <c r="N338" s="11">
        <v>20</v>
      </c>
      <c r="O338" s="52">
        <f t="shared" si="308"/>
        <v>15848.931924611146</v>
      </c>
      <c r="P338" s="50" t="str">
        <f t="shared" si="257"/>
        <v>23.3035714285714</v>
      </c>
      <c r="Q338" s="18" t="str">
        <f t="shared" si="258"/>
        <v>1+53.3473801088604i</v>
      </c>
      <c r="R338" s="18">
        <f t="shared" si="269"/>
        <v>53.356751817171499</v>
      </c>
      <c r="S338" s="18">
        <f t="shared" si="270"/>
        <v>1.5520534588817718</v>
      </c>
      <c r="T338" s="18" t="str">
        <f t="shared" si="259"/>
        <v>1+0.0995817762032062i</v>
      </c>
      <c r="U338" s="18">
        <f t="shared" si="271"/>
        <v>1.0049460334524365</v>
      </c>
      <c r="V338" s="18">
        <f t="shared" si="272"/>
        <v>9.9254552400528856E-2</v>
      </c>
      <c r="W338" s="32" t="str">
        <f t="shared" si="260"/>
        <v>1-0.243422119607837i</v>
      </c>
      <c r="X338" s="18">
        <f t="shared" si="273"/>
        <v>1.0292008202068108</v>
      </c>
      <c r="Y338" s="18">
        <f t="shared" si="274"/>
        <v>-0.23877819952992579</v>
      </c>
      <c r="Z338" s="32" t="str">
        <f t="shared" si="261"/>
        <v>0.998995245427396+0.119470746455392i</v>
      </c>
      <c r="AA338" s="18">
        <f t="shared" si="275"/>
        <v>1.0061136912124553</v>
      </c>
      <c r="AB338" s="18">
        <f t="shared" si="276"/>
        <v>0.11902561981601521</v>
      </c>
      <c r="AC338" s="68" t="str">
        <f t="shared" si="277"/>
        <v>-0.106639760839216-0.436133896519812i</v>
      </c>
      <c r="AD338" s="66">
        <f t="shared" si="278"/>
        <v>-6.9554218710973368</v>
      </c>
      <c r="AE338" s="63">
        <f t="shared" si="279"/>
        <v>-103.73989456478023</v>
      </c>
      <c r="AF338" s="51" t="e">
        <f t="shared" si="280"/>
        <v>#NUM!</v>
      </c>
      <c r="AG338" s="51" t="str">
        <f t="shared" si="262"/>
        <v>1-74.6863321524048i</v>
      </c>
      <c r="AH338" s="51">
        <f t="shared" si="281"/>
        <v>74.693026517736826</v>
      </c>
      <c r="AI338" s="51">
        <f t="shared" si="282"/>
        <v>-1.5574077961287009</v>
      </c>
      <c r="AJ338" s="51" t="str">
        <f t="shared" si="263"/>
        <v>1+0.0995817762032062i</v>
      </c>
      <c r="AK338" s="51">
        <f t="shared" si="283"/>
        <v>1.0049460334524365</v>
      </c>
      <c r="AL338" s="51">
        <f t="shared" si="284"/>
        <v>9.9254552400528856E-2</v>
      </c>
      <c r="AM338" s="51" t="e">
        <f t="shared" si="264"/>
        <v>#NUM!</v>
      </c>
      <c r="AN338" s="51" t="e">
        <f t="shared" si="285"/>
        <v>#NUM!</v>
      </c>
      <c r="AO338" s="51" t="e">
        <f t="shared" si="286"/>
        <v>#NUM!</v>
      </c>
      <c r="AP338" s="60" t="e">
        <f t="shared" si="287"/>
        <v>#NUM!</v>
      </c>
      <c r="AQ338" s="51" t="e">
        <f t="shared" si="288"/>
        <v>#NUM!</v>
      </c>
      <c r="AR338" s="63" t="e">
        <f t="shared" si="289"/>
        <v>#NUM!</v>
      </c>
      <c r="AS338" s="32" t="str">
        <f t="shared" si="265"/>
        <v>-0.000170731707317073</v>
      </c>
      <c r="AT338" s="32" t="str">
        <f t="shared" si="266"/>
        <v>0.00378410749572184i</v>
      </c>
      <c r="AU338" s="32">
        <f t="shared" si="290"/>
        <v>3.78410749572184E-3</v>
      </c>
      <c r="AV338" s="32">
        <f t="shared" si="291"/>
        <v>1.5707963267948966</v>
      </c>
      <c r="AW338" s="32" t="str">
        <f t="shared" si="267"/>
        <v>1+0.805668980945097i</v>
      </c>
      <c r="AX338" s="32">
        <f t="shared" si="292"/>
        <v>1.2841738616157514</v>
      </c>
      <c r="AY338" s="32">
        <f t="shared" si="293"/>
        <v>0.67818809163275828</v>
      </c>
      <c r="AZ338" s="32" t="str">
        <f t="shared" si="268"/>
        <v>1+15.3077106379569i</v>
      </c>
      <c r="BA338" s="32">
        <f t="shared" si="294"/>
        <v>15.340339141473333</v>
      </c>
      <c r="BB338" s="32">
        <f t="shared" si="295"/>
        <v>1.5055624629357391</v>
      </c>
      <c r="BC338" s="60" t="str">
        <f t="shared" si="296"/>
        <v>-0.396763958679712+0.364778505521908i</v>
      </c>
      <c r="BD338" s="51">
        <f t="shared" si="297"/>
        <v>-5.3687629318498651</v>
      </c>
      <c r="BE338" s="63">
        <f t="shared" si="298"/>
        <v>137.40505955295072</v>
      </c>
      <c r="BF338" s="60" t="str">
        <f t="shared" si="299"/>
        <v>0.201403084643169+0.134142318709466i</v>
      </c>
      <c r="BG338" s="66">
        <f t="shared" si="300"/>
        <v>-12.32418480294718</v>
      </c>
      <c r="BH338" s="63">
        <f t="shared" si="301"/>
        <v>33.665164988170524</v>
      </c>
      <c r="BI338" s="60" t="e">
        <f t="shared" si="306"/>
        <v>#NUM!</v>
      </c>
      <c r="BJ338" s="66" t="e">
        <f t="shared" si="302"/>
        <v>#NUM!</v>
      </c>
      <c r="BK338" s="63" t="e">
        <f t="shared" si="307"/>
        <v>#NUM!</v>
      </c>
      <c r="BL338" s="51">
        <f t="shared" si="303"/>
        <v>-12.32418480294718</v>
      </c>
      <c r="BM338" s="63">
        <f t="shared" si="304"/>
        <v>33.665164988170524</v>
      </c>
    </row>
    <row r="339" spans="14:65" x14ac:dyDescent="0.3">
      <c r="N339" s="11">
        <v>21</v>
      </c>
      <c r="O339" s="52">
        <f t="shared" si="308"/>
        <v>16218.100973589309</v>
      </c>
      <c r="P339" s="50" t="str">
        <f t="shared" ref="P339:P402" si="309">COMPLEX(Adc,0)</f>
        <v>23.3035714285714</v>
      </c>
      <c r="Q339" s="18" t="str">
        <f t="shared" ref="Q339:Q402" si="310">IMSUM(COMPLEX(1,0),IMDIV(COMPLEX(0,2*PI()*O339),COMPLEX(wp_lf,0)))</f>
        <v>1+54.5900002219344i</v>
      </c>
      <c r="R339" s="18">
        <f t="shared" si="269"/>
        <v>54.5991586403197</v>
      </c>
      <c r="S339" s="18">
        <f t="shared" si="270"/>
        <v>1.5524800021166802</v>
      </c>
      <c r="T339" s="18" t="str">
        <f t="shared" ref="T339:T402" si="311">IMSUM(COMPLEX(1,0),IMDIV(COMPLEX(0,2*PI()*O339),COMPLEX(wz_esr,0)))</f>
        <v>1+0.101901333747611i</v>
      </c>
      <c r="U339" s="18">
        <f t="shared" si="271"/>
        <v>1.0051785323113214</v>
      </c>
      <c r="V339" s="18">
        <f t="shared" si="272"/>
        <v>0.10155080461246867</v>
      </c>
      <c r="W339" s="32" t="str">
        <f t="shared" ref="W339:W402" si="312">IMSUB(COMPLEX(1,0),IMDIV(COMPLEX(0,2*PI()*O339),COMPLEX(wz_rhp,0)))</f>
        <v>1-0.249092149160827i</v>
      </c>
      <c r="X339" s="18">
        <f t="shared" si="273"/>
        <v>1.0305565965892216</v>
      </c>
      <c r="Y339" s="18">
        <f t="shared" si="274"/>
        <v>-0.24412403292702436</v>
      </c>
      <c r="Z339" s="32" t="str">
        <f t="shared" ref="Z339:Z402" si="313">IMSUM(COMPLEX(1,0),IMDIV(COMPLEX(0,2*PI()*O339),COMPLEX(Q*(wsl/2),0)),IMDIV(IMPOWER(COMPLEX(0,2*PI()*O339),2),IMPOWER(COMPLEX(wsl/2,0),2)))</f>
        <v>0.998947892803242+0.122253577630353i</v>
      </c>
      <c r="AA339" s="18">
        <f t="shared" si="275"/>
        <v>1.0064009289440556</v>
      </c>
      <c r="AB339" s="18">
        <f t="shared" si="276"/>
        <v>0.12177677833036059</v>
      </c>
      <c r="AC339" s="68" t="str">
        <f t="shared" si="277"/>
        <v>-0.10700024079194-0.426089943517328i</v>
      </c>
      <c r="AD339" s="66">
        <f t="shared" si="278"/>
        <v>-7.144388847527571</v>
      </c>
      <c r="AE339" s="63">
        <f t="shared" si="279"/>
        <v>-104.09669159475581</v>
      </c>
      <c r="AF339" s="51" t="e">
        <f t="shared" si="280"/>
        <v>#NUM!</v>
      </c>
      <c r="AG339" s="51" t="str">
        <f t="shared" ref="AG339:AG402" si="314">IMSUM(COMPLEX(1,0),IMDIV(COMPLEX(0,2*PI()*O339),COMPLEX(wp_lf_DCM,0)))</f>
        <v>1-76.4260003107084i</v>
      </c>
      <c r="AH339" s="51">
        <f t="shared" si="281"/>
        <v>76.432542306876073</v>
      </c>
      <c r="AI339" s="51">
        <f t="shared" si="282"/>
        <v>-1.5577125211097487</v>
      </c>
      <c r="AJ339" s="51" t="str">
        <f t="shared" ref="AJ339:AJ402" si="315">IMSUM(COMPLEX(1,0),IMDIV(COMPLEX(0,2*PI()*O339),COMPLEX(wz1_dcm,0)))</f>
        <v>1+0.101901333747611i</v>
      </c>
      <c r="AK339" s="51">
        <f t="shared" si="283"/>
        <v>1.0051785323113214</v>
      </c>
      <c r="AL339" s="51">
        <f t="shared" si="284"/>
        <v>0.10155080461246867</v>
      </c>
      <c r="AM339" s="51" t="e">
        <f t="shared" ref="AM339:AM402" si="316">IMSUB(COMPLEX(1,0),IMDIV(COMPLEX(0,2*PI()*O339),COMPLEX(wz2_dcm,0)))</f>
        <v>#NUM!</v>
      </c>
      <c r="AN339" s="51" t="e">
        <f t="shared" si="285"/>
        <v>#NUM!</v>
      </c>
      <c r="AO339" s="51" t="e">
        <f t="shared" si="286"/>
        <v>#NUM!</v>
      </c>
      <c r="AP339" s="60" t="e">
        <f t="shared" si="287"/>
        <v>#NUM!</v>
      </c>
      <c r="AQ339" s="51" t="e">
        <f t="shared" si="288"/>
        <v>#NUM!</v>
      </c>
      <c r="AR339" s="63" t="e">
        <f t="shared" si="289"/>
        <v>#NUM!</v>
      </c>
      <c r="AS339" s="32" t="str">
        <f t="shared" ref="AS339:AS402" si="317">COMPLEX(Adc_ea,0)</f>
        <v>-0.000170731707317073</v>
      </c>
      <c r="AT339" s="32" t="str">
        <f t="shared" ref="AT339:AT402" si="318">COMPLEX(0,2*PI()*O339*wp0_ea)</f>
        <v>0.00387225068240923i</v>
      </c>
      <c r="AU339" s="32">
        <f t="shared" si="290"/>
        <v>3.8722506824092301E-3</v>
      </c>
      <c r="AV339" s="32">
        <f t="shared" si="291"/>
        <v>1.5707963267948966</v>
      </c>
      <c r="AW339" s="32" t="str">
        <f t="shared" ref="AW339:AW402" si="319">IMSUM(COMPLEX(1,0),IMDIV(COMPLEX(0,2*PI()*O339),COMPLEX(wp1_ea,0)))</f>
        <v>1+0.824435422299092i</v>
      </c>
      <c r="AX339" s="32">
        <f t="shared" si="292"/>
        <v>1.2960300017906539</v>
      </c>
      <c r="AY339" s="32">
        <f t="shared" si="293"/>
        <v>0.68946401843812555</v>
      </c>
      <c r="AZ339" s="32" t="str">
        <f t="shared" ref="AZ339:AZ402" si="320">IMSUM(COMPLEX(1,0),IMDIV(COMPLEX(0,2*PI()*O339),COMPLEX(wz_ea,0)))</f>
        <v>1+15.6642730236828i</v>
      </c>
      <c r="BA339" s="32">
        <f t="shared" si="294"/>
        <v>15.696160338136098</v>
      </c>
      <c r="BB339" s="32">
        <f t="shared" si="295"/>
        <v>1.507043300075813</v>
      </c>
      <c r="BC339" s="60" t="str">
        <f t="shared" si="296"/>
        <v>-0.389537933825893+0.365239949089777i</v>
      </c>
      <c r="BD339" s="51">
        <f t="shared" si="297"/>
        <v>-5.449418207671858</v>
      </c>
      <c r="BE339" s="63">
        <f t="shared" si="298"/>
        <v>136.84384225517712</v>
      </c>
      <c r="BF339" s="60" t="str">
        <f t="shared" si="299"/>
        <v>0.1973057219949+0.126897433722289i</v>
      </c>
      <c r="BG339" s="66">
        <f t="shared" si="300"/>
        <v>-12.59380705519944</v>
      </c>
      <c r="BH339" s="63">
        <f t="shared" si="301"/>
        <v>32.747150660421276</v>
      </c>
      <c r="BI339" s="60" t="e">
        <f t="shared" si="306"/>
        <v>#NUM!</v>
      </c>
      <c r="BJ339" s="66" t="e">
        <f t="shared" si="302"/>
        <v>#NUM!</v>
      </c>
      <c r="BK339" s="63" t="e">
        <f t="shared" si="307"/>
        <v>#NUM!</v>
      </c>
      <c r="BL339" s="51">
        <f t="shared" si="303"/>
        <v>-12.59380705519944</v>
      </c>
      <c r="BM339" s="63">
        <f t="shared" si="304"/>
        <v>32.747150660421276</v>
      </c>
    </row>
    <row r="340" spans="14:65" x14ac:dyDescent="0.3">
      <c r="N340" s="11">
        <v>22</v>
      </c>
      <c r="O340" s="52">
        <f t="shared" si="308"/>
        <v>16595.869074375616</v>
      </c>
      <c r="P340" s="50" t="str">
        <f t="shared" si="309"/>
        <v>23.3035714285714</v>
      </c>
      <c r="Q340" s="18" t="str">
        <f t="shared" si="310"/>
        <v>1+55.8615646757104i</v>
      </c>
      <c r="R340" s="18">
        <f t="shared" ref="R340:R403" si="321">IMABS(Q340)</f>
        <v>55.870514656825705</v>
      </c>
      <c r="S340" s="18">
        <f t="shared" ref="S340:S403" si="322">IMARGUMENT(Q340)</f>
        <v>1.5528968424832079</v>
      </c>
      <c r="T340" s="18" t="str">
        <f t="shared" si="311"/>
        <v>1+0.104274920727993i</v>
      </c>
      <c r="U340" s="18">
        <f t="shared" ref="U340:U403" si="323">IMABS(T340)</f>
        <v>1.0054219308791854</v>
      </c>
      <c r="V340" s="18">
        <f t="shared" ref="V340:V403" si="324">IMARGUMENT(T340)</f>
        <v>0.1038994313003309</v>
      </c>
      <c r="W340" s="32" t="str">
        <f t="shared" si="312"/>
        <v>1-0.254894250668427i</v>
      </c>
      <c r="X340" s="18">
        <f t="shared" ref="X340:X403" si="325">IMABS(W340)</f>
        <v>1.0319743596736399</v>
      </c>
      <c r="Y340" s="18">
        <f t="shared" ref="Y340:Y403" si="326">IMARGUMENT(W340)</f>
        <v>-0.24957968570830985</v>
      </c>
      <c r="Z340" s="32" t="str">
        <f t="shared" si="313"/>
        <v>0.998898308518665+0.125101229270391i</v>
      </c>
      <c r="AA340" s="18">
        <f t="shared" ref="AA340:AA403" si="327">IMABS(Z340)</f>
        <v>1.0067016183191586</v>
      </c>
      <c r="AB340" s="18">
        <f t="shared" ref="AB340:AB403" si="328">IMARGUMENT(Z340)</f>
        <v>0.12459051177833119</v>
      </c>
      <c r="AC340" s="68" t="str">
        <f t="shared" ref="AC340:AC403" si="329">(IMDIV(IMPRODUCT(P340,T340,W340),IMPRODUCT(Q340,Z340)))</f>
        <v>-0.10734363209031-0.416271396203473i</v>
      </c>
      <c r="AD340" s="66">
        <f t="shared" ref="AD340:AD403" si="330">20*LOG(IMABS(AC340))</f>
        <v>-7.3328738586969049</v>
      </c>
      <c r="AE340" s="63">
        <f t="shared" ref="AE340:AE403" si="331">(180/PI())*IMARGUMENT(AC340)</f>
        <v>-104.4598093217223</v>
      </c>
      <c r="AF340" s="51" t="e">
        <f t="shared" ref="AF340:AF403" si="332">COMPLEX($B$68,0)</f>
        <v>#NUM!</v>
      </c>
      <c r="AG340" s="51" t="str">
        <f t="shared" si="314"/>
        <v>1-78.2061905459949i</v>
      </c>
      <c r="AH340" s="51">
        <f t="shared" ref="AH340:AH403" si="333">IMABS(AG340)</f>
        <v>78.212583640463265</v>
      </c>
      <c r="AI340" s="51">
        <f t="shared" ref="AI340:AI403" si="334">IMARGUMENT(AG340)</f>
        <v>-1.558010312051469</v>
      </c>
      <c r="AJ340" s="51" t="str">
        <f t="shared" si="315"/>
        <v>1+0.104274920727993i</v>
      </c>
      <c r="AK340" s="51">
        <f t="shared" ref="AK340:AK403" si="335">IMABS(AJ340)</f>
        <v>1.0054219308791854</v>
      </c>
      <c r="AL340" s="51">
        <f t="shared" ref="AL340:AL403" si="336">IMARGUMENT(AJ340)</f>
        <v>0.1038994313003309</v>
      </c>
      <c r="AM340" s="51" t="e">
        <f t="shared" si="316"/>
        <v>#NUM!</v>
      </c>
      <c r="AN340" s="51" t="e">
        <f t="shared" ref="AN340:AN403" si="337">IMABS(AM340)</f>
        <v>#NUM!</v>
      </c>
      <c r="AO340" s="51" t="e">
        <f t="shared" ref="AO340:AO403" si="338">IMARGUMENT(AM340)</f>
        <v>#NUM!</v>
      </c>
      <c r="AP340" s="60" t="e">
        <f t="shared" ref="AP340:AP403" si="339">(IMDIV(IMPRODUCT(AF340,AJ340,AM340),IMPRODUCT(AG340)))</f>
        <v>#NUM!</v>
      </c>
      <c r="AQ340" s="51" t="e">
        <f t="shared" ref="AQ340:AQ403" si="340">20*LOG(IMABS(AP340))</f>
        <v>#NUM!</v>
      </c>
      <c r="AR340" s="63" t="e">
        <f t="shared" ref="AR340:AR403" si="341">(180/PI())*IMARGUMENT(AP340)</f>
        <v>#NUM!</v>
      </c>
      <c r="AS340" s="32" t="str">
        <f t="shared" si="317"/>
        <v>-0.000170731707317073</v>
      </c>
      <c r="AT340" s="32" t="str">
        <f t="shared" si="318"/>
        <v>0.00396244698766373i</v>
      </c>
      <c r="AU340" s="32">
        <f t="shared" ref="AU340:AU403" si="342">IMABS(AT340)</f>
        <v>3.96244698766373E-3</v>
      </c>
      <c r="AV340" s="32">
        <f t="shared" ref="AV340:AV403" si="343">IMARGUMENT(AT340)</f>
        <v>1.5707963267948966</v>
      </c>
      <c r="AW340" s="32" t="str">
        <f t="shared" si="319"/>
        <v>1+0.843638990226688i</v>
      </c>
      <c r="AX340" s="32">
        <f t="shared" ref="AX340:AX403" si="344">IMABS(AW340)</f>
        <v>1.3083297542403849</v>
      </c>
      <c r="AY340" s="32">
        <f t="shared" ref="AY340:AY403" si="345">IMARGUMENT(AW340)</f>
        <v>0.70078955892407679</v>
      </c>
      <c r="AZ340" s="32" t="str">
        <f t="shared" si="320"/>
        <v>1+16.0291408143071i</v>
      </c>
      <c r="BA340" s="32">
        <f t="shared" ref="BA340:BA403" si="346">IMABS(AZ340)</f>
        <v>16.060303709609162</v>
      </c>
      <c r="BB340" s="32">
        <f t="shared" ref="BB340:BB403" si="347">IMARGUMENT(AZ340)</f>
        <v>1.5084906998426968</v>
      </c>
      <c r="BC340" s="60" t="str">
        <f t="shared" ref="BC340:BC403" si="348">IMPRODUCT(AS340,IMDIV(AZ340,IMPRODUCT(AT340,AW340)))</f>
        <v>-0.382248183293842+0.365566914015573i</v>
      </c>
      <c r="BD340" s="51">
        <f t="shared" ref="BD340:BD403" si="349">20*LOG(IMABS(BC340))</f>
        <v>-5.5322549239892149</v>
      </c>
      <c r="BE340" s="63">
        <f t="shared" ref="BE340:BE403" si="350">(180/PI())*IMARGUMENT(BC340)</f>
        <v>136.27786648253829</v>
      </c>
      <c r="BF340" s="60" t="str">
        <f t="shared" ref="BF340:BF403" si="351">IMPRODUCT(AC340,BC340)</f>
        <v>0.193206958057741+0.119877704633491i</v>
      </c>
      <c r="BG340" s="66">
        <f t="shared" ref="BG340:BG403" si="352">20*LOG(IMABS(BF340))</f>
        <v>-12.865128782686124</v>
      </c>
      <c r="BH340" s="63">
        <f t="shared" ref="BH340:BH403" si="353">(180/PI())*IMARGUMENT(BF340)</f>
        <v>31.818057160815997</v>
      </c>
      <c r="BI340" s="60" t="e">
        <f t="shared" si="306"/>
        <v>#NUM!</v>
      </c>
      <c r="BJ340" s="66" t="e">
        <f t="shared" ref="BJ340:BJ403" si="354">20*LOG(IMABS(BI340))</f>
        <v>#NUM!</v>
      </c>
      <c r="BK340" s="63" t="e">
        <f t="shared" si="307"/>
        <v>#NUM!</v>
      </c>
      <c r="BL340" s="51">
        <f t="shared" ref="BL340:BL403" si="355">IF($B$31=0,BJ340,BG340)</f>
        <v>-12.865128782686124</v>
      </c>
      <c r="BM340" s="63">
        <f t="shared" ref="BM340:BM403" si="356">IF($B$31=0,BK340,BH340)</f>
        <v>31.818057160815997</v>
      </c>
    </row>
    <row r="341" spans="14:65" x14ac:dyDescent="0.3">
      <c r="N341" s="11">
        <v>23</v>
      </c>
      <c r="O341" s="52">
        <f t="shared" si="308"/>
        <v>16982.436524617482</v>
      </c>
      <c r="P341" s="50" t="str">
        <f t="shared" si="309"/>
        <v>23.3035714285714</v>
      </c>
      <c r="Q341" s="18" t="str">
        <f t="shared" si="310"/>
        <v>1+57.1627476704929i</v>
      </c>
      <c r="R341" s="18">
        <f t="shared" si="321"/>
        <v>57.171493956695251</v>
      </c>
      <c r="S341" s="18">
        <f t="shared" si="322"/>
        <v>1.5533042004158748</v>
      </c>
      <c r="T341" s="18" t="str">
        <f t="shared" si="311"/>
        <v>1+0.106703795651587i</v>
      </c>
      <c r="U341" s="18">
        <f t="shared" si="323"/>
        <v>1.0056767373298716</v>
      </c>
      <c r="V341" s="18">
        <f t="shared" si="324"/>
        <v>0.10630157403930424</v>
      </c>
      <c r="W341" s="32" t="str">
        <f t="shared" si="312"/>
        <v>1-0.260831500481657i</v>
      </c>
      <c r="X341" s="18">
        <f t="shared" si="325"/>
        <v>1.0334568552404657</v>
      </c>
      <c r="Y341" s="18">
        <f t="shared" si="326"/>
        <v>-0.25514675091744154</v>
      </c>
      <c r="Z341" s="32" t="str">
        <f t="shared" si="313"/>
        <v>0.998846387398749+0.1280152112381i</v>
      </c>
      <c r="AA341" s="18">
        <f t="shared" si="327"/>
        <v>1.0070163851337608</v>
      </c>
      <c r="AB341" s="18">
        <f t="shared" si="328"/>
        <v>0.12746817179820971</v>
      </c>
      <c r="AC341" s="68" t="str">
        <f t="shared" si="329"/>
        <v>-0.107670663203329-0.406673096140039i</v>
      </c>
      <c r="AD341" s="66">
        <f t="shared" si="330"/>
        <v>-7.52085676947405</v>
      </c>
      <c r="AE341" s="63">
        <f t="shared" si="331"/>
        <v>-104.82936368605397</v>
      </c>
      <c r="AF341" s="51" t="e">
        <f t="shared" si="332"/>
        <v>#NUM!</v>
      </c>
      <c r="AG341" s="51" t="str">
        <f t="shared" si="314"/>
        <v>1-80.0278467386904i</v>
      </c>
      <c r="AH341" s="51">
        <f t="shared" si="333"/>
        <v>80.034094320054137</v>
      </c>
      <c r="AI341" s="51">
        <f t="shared" si="334"/>
        <v>-1.5583013266351764</v>
      </c>
      <c r="AJ341" s="51" t="str">
        <f t="shared" si="315"/>
        <v>1+0.106703795651587i</v>
      </c>
      <c r="AK341" s="51">
        <f t="shared" si="335"/>
        <v>1.0056767373298716</v>
      </c>
      <c r="AL341" s="51">
        <f t="shared" si="336"/>
        <v>0.10630157403930424</v>
      </c>
      <c r="AM341" s="51" t="e">
        <f t="shared" si="316"/>
        <v>#NUM!</v>
      </c>
      <c r="AN341" s="51" t="e">
        <f t="shared" si="337"/>
        <v>#NUM!</v>
      </c>
      <c r="AO341" s="51" t="e">
        <f t="shared" si="338"/>
        <v>#NUM!</v>
      </c>
      <c r="AP341" s="60" t="e">
        <f t="shared" si="339"/>
        <v>#NUM!</v>
      </c>
      <c r="AQ341" s="51" t="e">
        <f t="shared" si="340"/>
        <v>#NUM!</v>
      </c>
      <c r="AR341" s="63" t="e">
        <f t="shared" si="341"/>
        <v>#NUM!</v>
      </c>
      <c r="AS341" s="32" t="str">
        <f t="shared" si="317"/>
        <v>-0.000170731707317073</v>
      </c>
      <c r="AT341" s="32" t="str">
        <f t="shared" si="318"/>
        <v>0.00405474423476029i</v>
      </c>
      <c r="AU341" s="32">
        <f t="shared" si="342"/>
        <v>4.0547442347602901E-3</v>
      </c>
      <c r="AV341" s="32">
        <f t="shared" si="343"/>
        <v>1.5707963267948966</v>
      </c>
      <c r="AW341" s="32" t="str">
        <f t="shared" si="319"/>
        <v>1+0.863289866713786i</v>
      </c>
      <c r="AX341" s="32">
        <f t="shared" si="344"/>
        <v>1.3210864445488442</v>
      </c>
      <c r="AY341" s="32">
        <f t="shared" si="345"/>
        <v>0.71215909719688042</v>
      </c>
      <c r="AZ341" s="32" t="str">
        <f t="shared" si="320"/>
        <v>1+16.402507467562i</v>
      </c>
      <c r="BA341" s="32">
        <f t="shared" si="346"/>
        <v>16.43296233864811</v>
      </c>
      <c r="BB341" s="32">
        <f t="shared" si="347"/>
        <v>1.5099054053951964</v>
      </c>
      <c r="BC341" s="60" t="str">
        <f t="shared" si="348"/>
        <v>-0.374901686323991+0.365755479526462i</v>
      </c>
      <c r="BD341" s="51">
        <f t="shared" si="349"/>
        <v>-5.6172931622614</v>
      </c>
      <c r="BE341" s="63">
        <f t="shared" si="350"/>
        <v>135.7074965819061</v>
      </c>
      <c r="BF341" s="60" t="str">
        <f t="shared" si="351"/>
        <v>0.189108826491761+0.113081294474633i</v>
      </c>
      <c r="BG341" s="66">
        <f t="shared" si="352"/>
        <v>-13.138149931735473</v>
      </c>
      <c r="BH341" s="63">
        <f t="shared" si="353"/>
        <v>30.878132895852097</v>
      </c>
      <c r="BI341" s="60" t="e">
        <f t="shared" si="306"/>
        <v>#NUM!</v>
      </c>
      <c r="BJ341" s="66" t="e">
        <f t="shared" si="354"/>
        <v>#NUM!</v>
      </c>
      <c r="BK341" s="63" t="e">
        <f t="shared" si="307"/>
        <v>#NUM!</v>
      </c>
      <c r="BL341" s="51">
        <f t="shared" si="355"/>
        <v>-13.138149931735473</v>
      </c>
      <c r="BM341" s="63">
        <f t="shared" si="356"/>
        <v>30.878132895852097</v>
      </c>
    </row>
    <row r="342" spans="14:65" x14ac:dyDescent="0.3">
      <c r="N342" s="11">
        <v>24</v>
      </c>
      <c r="O342" s="52">
        <f t="shared" si="308"/>
        <v>17378.008287493791</v>
      </c>
      <c r="P342" s="50" t="str">
        <f t="shared" si="309"/>
        <v>23.3035714285714</v>
      </c>
      <c r="Q342" s="18" t="str">
        <f t="shared" si="310"/>
        <v>1+58.4942391107281i</v>
      </c>
      <c r="R342" s="18">
        <f t="shared" si="321"/>
        <v>58.502786336575738</v>
      </c>
      <c r="S342" s="18">
        <f t="shared" si="322"/>
        <v>1.5537022913601608</v>
      </c>
      <c r="T342" s="18" t="str">
        <f t="shared" si="311"/>
        <v>1+0.109189246340026i</v>
      </c>
      <c r="U342" s="18">
        <f t="shared" si="323"/>
        <v>1.0059434832615115</v>
      </c>
      <c r="V342" s="18">
        <f t="shared" si="324"/>
        <v>0.10875839552828327</v>
      </c>
      <c r="W342" s="32" t="str">
        <f t="shared" si="312"/>
        <v>1-0.266907046608952i</v>
      </c>
      <c r="X342" s="18">
        <f t="shared" si="325"/>
        <v>1.0350069427445949</v>
      </c>
      <c r="Y342" s="18">
        <f t="shared" si="326"/>
        <v>-0.26082679942169812</v>
      </c>
      <c r="Z342" s="32" t="str">
        <f t="shared" si="313"/>
        <v>0.998792019311839+0.130997068565288i</v>
      </c>
      <c r="AA342" s="18">
        <f t="shared" si="327"/>
        <v>1.0073458839017111</v>
      </c>
      <c r="AB342" s="18">
        <f t="shared" si="328"/>
        <v>0.13041113416661049</v>
      </c>
      <c r="AC342" s="68" t="str">
        <f t="shared" si="329"/>
        <v>-0.10798202817449-0.397289999415623i</v>
      </c>
      <c r="AD342" s="66">
        <f t="shared" si="330"/>
        <v>-7.7083167581809366</v>
      </c>
      <c r="AE342" s="63">
        <f t="shared" si="331"/>
        <v>-105.20546924438715</v>
      </c>
      <c r="AF342" s="51" t="e">
        <f t="shared" si="332"/>
        <v>#NUM!</v>
      </c>
      <c r="AG342" s="51" t="str">
        <f t="shared" si="314"/>
        <v>1-81.8919347550197i</v>
      </c>
      <c r="AH342" s="51">
        <f t="shared" si="333"/>
        <v>81.898040134794456</v>
      </c>
      <c r="AI342" s="51">
        <f t="shared" si="334"/>
        <v>-1.5585857189633749</v>
      </c>
      <c r="AJ342" s="51" t="str">
        <f t="shared" si="315"/>
        <v>1+0.109189246340026i</v>
      </c>
      <c r="AK342" s="51">
        <f t="shared" si="335"/>
        <v>1.0059434832615115</v>
      </c>
      <c r="AL342" s="51">
        <f t="shared" si="336"/>
        <v>0.10875839552828327</v>
      </c>
      <c r="AM342" s="51" t="e">
        <f t="shared" si="316"/>
        <v>#NUM!</v>
      </c>
      <c r="AN342" s="51" t="e">
        <f t="shared" si="337"/>
        <v>#NUM!</v>
      </c>
      <c r="AO342" s="51" t="e">
        <f t="shared" si="338"/>
        <v>#NUM!</v>
      </c>
      <c r="AP342" s="60" t="e">
        <f t="shared" si="339"/>
        <v>#NUM!</v>
      </c>
      <c r="AQ342" s="51" t="e">
        <f t="shared" si="340"/>
        <v>#NUM!</v>
      </c>
      <c r="AR342" s="63" t="e">
        <f t="shared" si="341"/>
        <v>#NUM!</v>
      </c>
      <c r="AS342" s="32" t="str">
        <f t="shared" si="317"/>
        <v>-0.000170731707317073</v>
      </c>
      <c r="AT342" s="32" t="str">
        <f t="shared" si="318"/>
        <v>0.00414919136092099i</v>
      </c>
      <c r="AU342" s="32">
        <f t="shared" si="342"/>
        <v>4.1491913609209901E-3</v>
      </c>
      <c r="AV342" s="32">
        <f t="shared" si="343"/>
        <v>1.5707963267948966</v>
      </c>
      <c r="AW342" s="32" t="str">
        <f t="shared" si="319"/>
        <v>1+0.883398470915199i</v>
      </c>
      <c r="AX342" s="32">
        <f t="shared" si="344"/>
        <v>1.3343136282056447</v>
      </c>
      <c r="AY342" s="32">
        <f t="shared" si="345"/>
        <v>0.72356690478786911</v>
      </c>
      <c r="AZ342" s="32" t="str">
        <f t="shared" si="320"/>
        <v>1+16.7845709473888i</v>
      </c>
      <c r="BA342" s="32">
        <f t="shared" si="346"/>
        <v>16.814333822305542</v>
      </c>
      <c r="BB342" s="32">
        <f t="shared" si="347"/>
        <v>1.5112881441650934</v>
      </c>
      <c r="BC342" s="60" t="str">
        <f t="shared" si="348"/>
        <v>-0.367505652360145+0.365802119624789i</v>
      </c>
      <c r="BD342" s="51">
        <f t="shared" si="349"/>
        <v>-5.7045507610585275</v>
      </c>
      <c r="BE342" s="63">
        <f t="shared" si="350"/>
        <v>135.13310244912927</v>
      </c>
      <c r="BF342" s="60" t="str">
        <f t="shared" si="351"/>
        <v>0.185013529599404+0.106506265623788i</v>
      </c>
      <c r="BG342" s="66">
        <f t="shared" si="352"/>
        <v>-13.412867519239448</v>
      </c>
      <c r="BH342" s="63">
        <f t="shared" si="353"/>
        <v>29.927633204742076</v>
      </c>
      <c r="BI342" s="60" t="e">
        <f t="shared" si="306"/>
        <v>#NUM!</v>
      </c>
      <c r="BJ342" s="66" t="e">
        <f t="shared" si="354"/>
        <v>#NUM!</v>
      </c>
      <c r="BK342" s="63" t="e">
        <f t="shared" si="307"/>
        <v>#NUM!</v>
      </c>
      <c r="BL342" s="51">
        <f t="shared" si="355"/>
        <v>-13.412867519239448</v>
      </c>
      <c r="BM342" s="63">
        <f t="shared" si="356"/>
        <v>29.927633204742076</v>
      </c>
    </row>
    <row r="343" spans="14:65" x14ac:dyDescent="0.3">
      <c r="N343" s="11">
        <v>25</v>
      </c>
      <c r="O343" s="52">
        <f t="shared" si="308"/>
        <v>17782.794100389234</v>
      </c>
      <c r="P343" s="50" t="str">
        <f t="shared" si="309"/>
        <v>23.3035714285714</v>
      </c>
      <c r="Q343" s="18" t="str">
        <f t="shared" si="310"/>
        <v>1+59.8567449708026i</v>
      </c>
      <c r="R343" s="18">
        <f t="shared" si="321"/>
        <v>59.86509766549873</v>
      </c>
      <c r="S343" s="18">
        <f t="shared" si="322"/>
        <v>1.5540913258841602</v>
      </c>
      <c r="T343" s="18" t="str">
        <f t="shared" si="311"/>
        <v>1+0.111732590612165i</v>
      </c>
      <c r="U343" s="18">
        <f t="shared" si="323"/>
        <v>1.0062227247507907</v>
      </c>
      <c r="V343" s="18">
        <f t="shared" si="324"/>
        <v>0.11127107970752798</v>
      </c>
      <c r="W343" s="32" t="str">
        <f t="shared" si="312"/>
        <v>1-0.273124110385292i</v>
      </c>
      <c r="X343" s="18">
        <f t="shared" si="325"/>
        <v>1.0366275993208733</v>
      </c>
      <c r="Y343" s="18">
        <f t="shared" si="326"/>
        <v>-0.26662137621140131</v>
      </c>
      <c r="Z343" s="32" t="str">
        <f t="shared" si="313"/>
        <v>0.998735088935933+0.13404838227218i</v>
      </c>
      <c r="AA343" s="18">
        <f t="shared" si="327"/>
        <v>1.0076907991351587</v>
      </c>
      <c r="AB343" s="18">
        <f t="shared" si="328"/>
        <v>0.13342079886278396</v>
      </c>
      <c r="AC343" s="68" t="str">
        <f t="shared" si="329"/>
        <v>-0.108278388096094-0.388117174182619i</v>
      </c>
      <c r="AD343" s="66">
        <f t="shared" si="330"/>
        <v>-7.8952323041407135</v>
      </c>
      <c r="AE343" s="63">
        <f t="shared" si="331"/>
        <v>-105.58823896093185</v>
      </c>
      <c r="AF343" s="51" t="e">
        <f t="shared" si="332"/>
        <v>#NUM!</v>
      </c>
      <c r="AG343" s="51" t="str">
        <f t="shared" si="314"/>
        <v>1-83.799442959124i</v>
      </c>
      <c r="AH343" s="51">
        <f t="shared" si="333"/>
        <v>83.805409373497341</v>
      </c>
      <c r="AI343" s="51">
        <f t="shared" si="334"/>
        <v>-1.5588636396405247</v>
      </c>
      <c r="AJ343" s="51" t="str">
        <f t="shared" si="315"/>
        <v>1+0.111732590612165i</v>
      </c>
      <c r="AK343" s="51">
        <f t="shared" si="335"/>
        <v>1.0062227247507907</v>
      </c>
      <c r="AL343" s="51">
        <f t="shared" si="336"/>
        <v>0.11127107970752798</v>
      </c>
      <c r="AM343" s="51" t="e">
        <f t="shared" si="316"/>
        <v>#NUM!</v>
      </c>
      <c r="AN343" s="51" t="e">
        <f t="shared" si="337"/>
        <v>#NUM!</v>
      </c>
      <c r="AO343" s="51" t="e">
        <f t="shared" si="338"/>
        <v>#NUM!</v>
      </c>
      <c r="AP343" s="60" t="e">
        <f t="shared" si="339"/>
        <v>#NUM!</v>
      </c>
      <c r="AQ343" s="51" t="e">
        <f t="shared" si="340"/>
        <v>#NUM!</v>
      </c>
      <c r="AR343" s="63" t="e">
        <f t="shared" si="341"/>
        <v>#NUM!</v>
      </c>
      <c r="AS343" s="32" t="str">
        <f t="shared" si="317"/>
        <v>-0.000170731707317073</v>
      </c>
      <c r="AT343" s="32" t="str">
        <f t="shared" si="318"/>
        <v>0.00424583844326229i</v>
      </c>
      <c r="AU343" s="32">
        <f t="shared" si="342"/>
        <v>4.2458384432622898E-3</v>
      </c>
      <c r="AV343" s="32">
        <f t="shared" si="343"/>
        <v>1.5707963267948966</v>
      </c>
      <c r="AW343" s="32" t="str">
        <f t="shared" si="319"/>
        <v>1+0.903975464679052i</v>
      </c>
      <c r="AX343" s="32">
        <f t="shared" si="344"/>
        <v>1.3480250890624061</v>
      </c>
      <c r="AY343" s="32">
        <f t="shared" si="345"/>
        <v>0.73500715445302567</v>
      </c>
      <c r="AZ343" s="32" t="str">
        <f t="shared" si="320"/>
        <v>1+17.175533828902i</v>
      </c>
      <c r="BA343" s="32">
        <f t="shared" si="346"/>
        <v>17.204620376740575</v>
      </c>
      <c r="BB343" s="32">
        <f t="shared" si="347"/>
        <v>1.5126396281368371</v>
      </c>
      <c r="BC343" s="60" t="str">
        <f t="shared" si="348"/>
        <v>-0.360067494021751+0.365703721383456i</v>
      </c>
      <c r="BD343" s="51">
        <f t="shared" si="349"/>
        <v>-5.7940432529973487</v>
      </c>
      <c r="BE343" s="63">
        <f t="shared" si="350"/>
        <v>134.55505875440045</v>
      </c>
      <c r="BF343" s="60" t="str">
        <f t="shared" si="351"/>
        <v>0.18092342278989+0.100150568822595i</v>
      </c>
      <c r="BG343" s="66">
        <f t="shared" si="352"/>
        <v>-13.689275557138068</v>
      </c>
      <c r="BH343" s="63">
        <f t="shared" si="353"/>
        <v>28.966819793468495</v>
      </c>
      <c r="BI343" s="60" t="e">
        <f t="shared" si="306"/>
        <v>#NUM!</v>
      </c>
      <c r="BJ343" s="66" t="e">
        <f t="shared" si="354"/>
        <v>#NUM!</v>
      </c>
      <c r="BK343" s="63" t="e">
        <f t="shared" si="307"/>
        <v>#NUM!</v>
      </c>
      <c r="BL343" s="51">
        <f t="shared" si="355"/>
        <v>-13.689275557138068</v>
      </c>
      <c r="BM343" s="63">
        <f t="shared" si="356"/>
        <v>28.966819793468495</v>
      </c>
    </row>
    <row r="344" spans="14:65" x14ac:dyDescent="0.3">
      <c r="N344" s="11">
        <v>26</v>
      </c>
      <c r="O344" s="52">
        <f t="shared" si="308"/>
        <v>18197.008586099837</v>
      </c>
      <c r="P344" s="50" t="str">
        <f t="shared" si="309"/>
        <v>23.3035714285714</v>
      </c>
      <c r="Q344" s="18" t="str">
        <f t="shared" si="310"/>
        <v>1+61.2509876693586i</v>
      </c>
      <c r="R344" s="18">
        <f t="shared" si="321"/>
        <v>61.259150259140227</v>
      </c>
      <c r="S344" s="18">
        <f t="shared" si="322"/>
        <v>1.554471509787821</v>
      </c>
      <c r="T344" s="18" t="str">
        <f t="shared" si="311"/>
        <v>1+0.114335176982803i</v>
      </c>
      <c r="U344" s="18">
        <f t="shared" si="323"/>
        <v>1.0065150434522521</v>
      </c>
      <c r="V344" s="18">
        <f t="shared" si="324"/>
        <v>0.1138408318542522</v>
      </c>
      <c r="W344" s="32" t="str">
        <f t="shared" si="312"/>
        <v>1-0.279485988180185i</v>
      </c>
      <c r="X344" s="18">
        <f t="shared" si="325"/>
        <v>1.038321923869979</v>
      </c>
      <c r="Y344" s="18">
        <f t="shared" si="326"/>
        <v>-0.27253199649354543</v>
      </c>
      <c r="Z344" s="32" t="str">
        <f t="shared" si="313"/>
        <v>0.99867547551407+0.137170770205693i</v>
      </c>
      <c r="AA344" s="18">
        <f t="shared" si="327"/>
        <v>1.0080518466785708</v>
      </c>
      <c r="AB344" s="18">
        <f t="shared" si="328"/>
        <v>0.1364985901020204</v>
      </c>
      <c r="AC344" s="68" t="str">
        <f t="shared" si="329"/>
        <v>-0.108560372515906-0.379149798243478i</v>
      </c>
      <c r="AD344" s="66">
        <f t="shared" si="330"/>
        <v>-8.0815811761714045</v>
      </c>
      <c r="AE344" s="63">
        <f t="shared" si="331"/>
        <v>-105.97778398635027</v>
      </c>
      <c r="AF344" s="51" t="e">
        <f t="shared" si="332"/>
        <v>#NUM!</v>
      </c>
      <c r="AG344" s="51" t="str">
        <f t="shared" si="314"/>
        <v>1-85.7513827371025i</v>
      </c>
      <c r="AH344" s="51">
        <f t="shared" si="333"/>
        <v>85.757213348645138</v>
      </c>
      <c r="AI344" s="51">
        <f t="shared" si="334"/>
        <v>-1.5591352358520163</v>
      </c>
      <c r="AJ344" s="51" t="str">
        <f t="shared" si="315"/>
        <v>1+0.114335176982803i</v>
      </c>
      <c r="AK344" s="51">
        <f t="shared" si="335"/>
        <v>1.0065150434522521</v>
      </c>
      <c r="AL344" s="51">
        <f t="shared" si="336"/>
        <v>0.1138408318542522</v>
      </c>
      <c r="AM344" s="51" t="e">
        <f t="shared" si="316"/>
        <v>#NUM!</v>
      </c>
      <c r="AN344" s="51" t="e">
        <f t="shared" si="337"/>
        <v>#NUM!</v>
      </c>
      <c r="AO344" s="51" t="e">
        <f t="shared" si="338"/>
        <v>#NUM!</v>
      </c>
      <c r="AP344" s="60" t="e">
        <f t="shared" si="339"/>
        <v>#NUM!</v>
      </c>
      <c r="AQ344" s="51" t="e">
        <f t="shared" si="340"/>
        <v>#NUM!</v>
      </c>
      <c r="AR344" s="63" t="e">
        <f t="shared" si="341"/>
        <v>#NUM!</v>
      </c>
      <c r="AS344" s="32" t="str">
        <f t="shared" si="317"/>
        <v>-0.000170731707317073</v>
      </c>
      <c r="AT344" s="32" t="str">
        <f t="shared" si="318"/>
        <v>0.00434473672534652i</v>
      </c>
      <c r="AU344" s="32">
        <f t="shared" si="342"/>
        <v>4.3447367253465199E-3</v>
      </c>
      <c r="AV344" s="32">
        <f t="shared" si="343"/>
        <v>1.5707963267948966</v>
      </c>
      <c r="AW344" s="32" t="str">
        <f t="shared" si="319"/>
        <v>1+0.925031758199813i</v>
      </c>
      <c r="AX344" s="32">
        <f t="shared" si="344"/>
        <v>1.3622348379329599</v>
      </c>
      <c r="AY344" s="32">
        <f t="shared" si="345"/>
        <v>0.74647393458646083</v>
      </c>
      <c r="AZ344" s="32" t="str">
        <f t="shared" si="320"/>
        <v>1+17.5756034057965i</v>
      </c>
      <c r="BA344" s="32">
        <f t="shared" si="346"/>
        <v>17.604028944473068</v>
      </c>
      <c r="BB344" s="32">
        <f t="shared" si="347"/>
        <v>1.5139605541259737</v>
      </c>
      <c r="BC344" s="60" t="str">
        <f t="shared" si="348"/>
        <v>-0.352594798328291+0.365457600962614i</v>
      </c>
      <c r="BD344" s="51">
        <f t="shared" si="349"/>
        <v>-5.8857838100751723</v>
      </c>
      <c r="BE344" s="63">
        <f t="shared" si="350"/>
        <v>133.97374413237679</v>
      </c>
      <c r="BF344" s="60" t="str">
        <f t="shared" si="351"/>
        <v>0.176840998325211+0.0940120333486006i</v>
      </c>
      <c r="BG344" s="66">
        <f t="shared" si="352"/>
        <v>-13.967364986246562</v>
      </c>
      <c r="BH344" s="63">
        <f t="shared" si="353"/>
        <v>27.995960146026462</v>
      </c>
      <c r="BI344" s="60" t="e">
        <f t="shared" si="306"/>
        <v>#NUM!</v>
      </c>
      <c r="BJ344" s="66" t="e">
        <f t="shared" si="354"/>
        <v>#NUM!</v>
      </c>
      <c r="BK344" s="63" t="e">
        <f t="shared" si="307"/>
        <v>#NUM!</v>
      </c>
      <c r="BL344" s="51">
        <f t="shared" si="355"/>
        <v>-13.967364986246562</v>
      </c>
      <c r="BM344" s="63">
        <f t="shared" si="356"/>
        <v>27.995960146026462</v>
      </c>
    </row>
    <row r="345" spans="14:65" x14ac:dyDescent="0.3">
      <c r="N345" s="11">
        <v>27</v>
      </c>
      <c r="O345" s="52">
        <f t="shared" si="308"/>
        <v>18620.871366628675</v>
      </c>
      <c r="P345" s="50" t="str">
        <f t="shared" si="309"/>
        <v>23.3035714285714</v>
      </c>
      <c r="Q345" s="18" t="str">
        <f t="shared" si="310"/>
        <v>1+62.6777064523295i</v>
      </c>
      <c r="R345" s="18">
        <f t="shared" si="321"/>
        <v>62.685683262802414</v>
      </c>
      <c r="S345" s="18">
        <f t="shared" si="322"/>
        <v>1.5548430442098151</v>
      </c>
      <c r="T345" s="18" t="str">
        <f t="shared" si="311"/>
        <v>1+0.116998385377682i</v>
      </c>
      <c r="U345" s="18">
        <f t="shared" si="323"/>
        <v>1.0068210477443271</v>
      </c>
      <c r="V345" s="18">
        <f t="shared" si="324"/>
        <v>0.11646887865409267</v>
      </c>
      <c r="W345" s="32" t="str">
        <f t="shared" si="312"/>
        <v>1-0.285996053145445i</v>
      </c>
      <c r="X345" s="18">
        <f t="shared" si="325"/>
        <v>1.0400931412209062</v>
      </c>
      <c r="Y345" s="18">
        <f t="shared" si="326"/>
        <v>-0.27856014157638442</v>
      </c>
      <c r="Z345" s="32" t="str">
        <f t="shared" si="313"/>
        <v>0.99861305259819+0.14036588789724i</v>
      </c>
      <c r="AA345" s="18">
        <f t="shared" si="327"/>
        <v>1.0084297750982247</v>
      </c>
      <c r="AB345" s="18">
        <f t="shared" si="328"/>
        <v>0.13964595633550458</v>
      </c>
      <c r="AC345" s="68" t="str">
        <f t="shared" si="329"/>
        <v>-0.108828580779136-0.370383156685836i</v>
      </c>
      <c r="AD345" s="66">
        <f t="shared" si="330"/>
        <v>-8.267340422156833</v>
      </c>
      <c r="AE345" s="63">
        <f t="shared" si="331"/>
        <v>-106.37421342398055</v>
      </c>
      <c r="AF345" s="51" t="e">
        <f t="shared" si="332"/>
        <v>#NUM!</v>
      </c>
      <c r="AG345" s="51" t="str">
        <f t="shared" si="314"/>
        <v>1-87.7487890332617i</v>
      </c>
      <c r="AH345" s="51">
        <f t="shared" si="333"/>
        <v>87.754486932600045</v>
      </c>
      <c r="AI345" s="51">
        <f t="shared" si="334"/>
        <v>-1.5594006514413907</v>
      </c>
      <c r="AJ345" s="51" t="str">
        <f t="shared" si="315"/>
        <v>1+0.116998385377682i</v>
      </c>
      <c r="AK345" s="51">
        <f t="shared" si="335"/>
        <v>1.0068210477443271</v>
      </c>
      <c r="AL345" s="51">
        <f t="shared" si="336"/>
        <v>0.11646887865409267</v>
      </c>
      <c r="AM345" s="51" t="e">
        <f t="shared" si="316"/>
        <v>#NUM!</v>
      </c>
      <c r="AN345" s="51" t="e">
        <f t="shared" si="337"/>
        <v>#NUM!</v>
      </c>
      <c r="AO345" s="51" t="e">
        <f t="shared" si="338"/>
        <v>#NUM!</v>
      </c>
      <c r="AP345" s="60" t="e">
        <f t="shared" si="339"/>
        <v>#NUM!</v>
      </c>
      <c r="AQ345" s="51" t="e">
        <f t="shared" si="340"/>
        <v>#NUM!</v>
      </c>
      <c r="AR345" s="63" t="e">
        <f t="shared" si="341"/>
        <v>#NUM!</v>
      </c>
      <c r="AS345" s="32" t="str">
        <f t="shared" si="317"/>
        <v>-0.000170731707317073</v>
      </c>
      <c r="AT345" s="32" t="str">
        <f t="shared" si="318"/>
        <v>0.00444593864435193i</v>
      </c>
      <c r="AU345" s="32">
        <f t="shared" si="342"/>
        <v>4.4459386443519303E-3</v>
      </c>
      <c r="AV345" s="32">
        <f t="shared" si="343"/>
        <v>1.5707963267948966</v>
      </c>
      <c r="AW345" s="32" t="str">
        <f t="shared" si="319"/>
        <v>1+0.946578515803013i</v>
      </c>
      <c r="AX345" s="32">
        <f t="shared" si="344"/>
        <v>1.3769571113799568</v>
      </c>
      <c r="AY345" s="32">
        <f t="shared" si="345"/>
        <v>0.75796126416404341</v>
      </c>
      <c r="AZ345" s="32" t="str">
        <f t="shared" si="320"/>
        <v>1+17.9849918002573i</v>
      </c>
      <c r="BA345" s="32">
        <f t="shared" si="346"/>
        <v>18.012771304142028</v>
      </c>
      <c r="BB345" s="32">
        <f t="shared" si="347"/>
        <v>1.5152516040560209</v>
      </c>
      <c r="BC345" s="60" t="str">
        <f t="shared" si="348"/>
        <v>-0.345095296403886+0.365061517160239i</v>
      </c>
      <c r="BD345" s="51">
        <f t="shared" si="349"/>
        <v>-5.9797831979072473</v>
      </c>
      <c r="BE345" s="63">
        <f t="shared" si="350"/>
        <v>133.38954034183794</v>
      </c>
      <c r="BF345" s="60" t="str">
        <f t="shared" si="351"/>
        <v>0.17276886845152+0.0880883584298785i</v>
      </c>
      <c r="BG345" s="66">
        <f t="shared" si="352"/>
        <v>-14.24712362006408</v>
      </c>
      <c r="BH345" s="63">
        <f t="shared" si="353"/>
        <v>27.01532691785739</v>
      </c>
      <c r="BI345" s="60" t="e">
        <f t="shared" si="306"/>
        <v>#NUM!</v>
      </c>
      <c r="BJ345" s="66" t="e">
        <f t="shared" si="354"/>
        <v>#NUM!</v>
      </c>
      <c r="BK345" s="63" t="e">
        <f t="shared" si="307"/>
        <v>#NUM!</v>
      </c>
      <c r="BL345" s="51">
        <f t="shared" si="355"/>
        <v>-14.24712362006408</v>
      </c>
      <c r="BM345" s="63">
        <f t="shared" si="356"/>
        <v>27.01532691785739</v>
      </c>
    </row>
    <row r="346" spans="14:65" x14ac:dyDescent="0.3">
      <c r="N346" s="11">
        <v>28</v>
      </c>
      <c r="O346" s="52">
        <f t="shared" si="308"/>
        <v>19054.607179632505</v>
      </c>
      <c r="P346" s="50" t="str">
        <f t="shared" si="309"/>
        <v>23.3035714285714</v>
      </c>
      <c r="Q346" s="18" t="str">
        <f t="shared" si="310"/>
        <v>1+64.1376577848995i</v>
      </c>
      <c r="R346" s="18">
        <f t="shared" si="321"/>
        <v>64.145453043320856</v>
      </c>
      <c r="S346" s="18">
        <f t="shared" si="322"/>
        <v>1.5552061257320891</v>
      </c>
      <c r="T346" s="18" t="str">
        <f t="shared" si="311"/>
        <v>1+0.119723627865146i</v>
      </c>
      <c r="U346" s="18">
        <f t="shared" si="323"/>
        <v>1.007141373923836</v>
      </c>
      <c r="V346" s="18">
        <f t="shared" si="324"/>
        <v>0.11915646824627253</v>
      </c>
      <c r="W346" s="32" t="str">
        <f t="shared" si="312"/>
        <v>1-0.29265775700369i</v>
      </c>
      <c r="X346" s="18">
        <f t="shared" si="325"/>
        <v>1.0419446063656315</v>
      </c>
      <c r="Y346" s="18">
        <f t="shared" si="326"/>
        <v>-0.28470725454249868</v>
      </c>
      <c r="Z346" s="32" t="str">
        <f t="shared" si="313"/>
        <v>0.99854768778092+0.143635429440512i</v>
      </c>
      <c r="AA346" s="18">
        <f t="shared" si="327"/>
        <v>1.0088253671291092</v>
      </c>
      <c r="AB346" s="18">
        <f t="shared" si="328"/>
        <v>0.14286437021379519</v>
      </c>
      <c r="AC346" s="68" t="str">
        <f t="shared" si="329"/>
        <v>-0.109083583308636-0.361812639566119i</v>
      </c>
      <c r="AD346" s="66">
        <f t="shared" si="330"/>
        <v>-8.4524863598336371</v>
      </c>
      <c r="AE346" s="63">
        <f t="shared" si="331"/>
        <v>-106.77763408323176</v>
      </c>
      <c r="AF346" s="51" t="e">
        <f t="shared" si="332"/>
        <v>#NUM!</v>
      </c>
      <c r="AG346" s="51" t="str">
        <f t="shared" si="314"/>
        <v>1-89.7927208988597i</v>
      </c>
      <c r="AH346" s="51">
        <f t="shared" si="333"/>
        <v>89.798289106310449</v>
      </c>
      <c r="AI346" s="51">
        <f t="shared" si="334"/>
        <v>-1.5596600269858427</v>
      </c>
      <c r="AJ346" s="51" t="str">
        <f t="shared" si="315"/>
        <v>1+0.119723627865146i</v>
      </c>
      <c r="AK346" s="51">
        <f t="shared" si="335"/>
        <v>1.007141373923836</v>
      </c>
      <c r="AL346" s="51">
        <f t="shared" si="336"/>
        <v>0.11915646824627253</v>
      </c>
      <c r="AM346" s="51" t="e">
        <f t="shared" si="316"/>
        <v>#NUM!</v>
      </c>
      <c r="AN346" s="51" t="e">
        <f t="shared" si="337"/>
        <v>#NUM!</v>
      </c>
      <c r="AO346" s="51" t="e">
        <f t="shared" si="338"/>
        <v>#NUM!</v>
      </c>
      <c r="AP346" s="60" t="e">
        <f t="shared" si="339"/>
        <v>#NUM!</v>
      </c>
      <c r="AQ346" s="51" t="e">
        <f t="shared" si="340"/>
        <v>#NUM!</v>
      </c>
      <c r="AR346" s="63" t="e">
        <f t="shared" si="341"/>
        <v>#NUM!</v>
      </c>
      <c r="AS346" s="32" t="str">
        <f t="shared" si="317"/>
        <v>-0.000170731707317073</v>
      </c>
      <c r="AT346" s="32" t="str">
        <f t="shared" si="318"/>
        <v>0.00454949785887553i</v>
      </c>
      <c r="AU346" s="32">
        <f t="shared" si="342"/>
        <v>4.5494978588755302E-3</v>
      </c>
      <c r="AV346" s="32">
        <f t="shared" si="343"/>
        <v>1.5707963267948966</v>
      </c>
      <c r="AW346" s="32" t="str">
        <f t="shared" si="319"/>
        <v>1+0.968627161864748i</v>
      </c>
      <c r="AX346" s="32">
        <f t="shared" si="344"/>
        <v>1.3922063707303443</v>
      </c>
      <c r="AY346" s="32">
        <f t="shared" si="345"/>
        <v>0.76946310812727747</v>
      </c>
      <c r="AZ346" s="32" t="str">
        <f t="shared" si="320"/>
        <v>1+18.4039160754303i</v>
      </c>
      <c r="BA346" s="32">
        <f t="shared" si="346"/>
        <v>18.431064182826823</v>
      </c>
      <c r="BB346" s="32">
        <f t="shared" si="347"/>
        <v>1.5165134452335158</v>
      </c>
      <c r="BC346" s="60" t="str">
        <f t="shared" si="348"/>
        <v>-0.337576831912711+0.364513682335514i</v>
      </c>
      <c r="BD346" s="51">
        <f t="shared" si="349"/>
        <v>-6.0760497392987975</v>
      </c>
      <c r="BE346" s="63">
        <f t="shared" si="350"/>
        <v>132.80283140001293</v>
      </c>
      <c r="BF346" s="60" t="str">
        <f t="shared" si="351"/>
        <v>0.168709748030794+0.0823771059765223i</v>
      </c>
      <c r="BG346" s="66">
        <f t="shared" si="352"/>
        <v>-14.528536099132426</v>
      </c>
      <c r="BH346" s="63">
        <f t="shared" si="353"/>
        <v>26.025197316781114</v>
      </c>
      <c r="BI346" s="60" t="e">
        <f t="shared" si="306"/>
        <v>#NUM!</v>
      </c>
      <c r="BJ346" s="66" t="e">
        <f t="shared" si="354"/>
        <v>#NUM!</v>
      </c>
      <c r="BK346" s="63" t="e">
        <f t="shared" si="307"/>
        <v>#NUM!</v>
      </c>
      <c r="BL346" s="51">
        <f t="shared" si="355"/>
        <v>-14.528536099132426</v>
      </c>
      <c r="BM346" s="63">
        <f t="shared" si="356"/>
        <v>26.025197316781114</v>
      </c>
    </row>
    <row r="347" spans="14:65" x14ac:dyDescent="0.3">
      <c r="N347" s="11">
        <v>29</v>
      </c>
      <c r="O347" s="52">
        <f t="shared" si="308"/>
        <v>19498.445997580486</v>
      </c>
      <c r="P347" s="50" t="str">
        <f t="shared" si="309"/>
        <v>23.3035714285714</v>
      </c>
      <c r="Q347" s="18" t="str">
        <f t="shared" si="310"/>
        <v>1+65.6316157525885i</v>
      </c>
      <c r="R347" s="18">
        <f t="shared" si="321"/>
        <v>65.639233590097803</v>
      </c>
      <c r="S347" s="18">
        <f t="shared" si="322"/>
        <v>1.5555609464821369</v>
      </c>
      <c r="T347" s="18" t="str">
        <f t="shared" si="311"/>
        <v>1+0.122512349404832i</v>
      </c>
      <c r="U347" s="18">
        <f t="shared" si="323"/>
        <v>1.0074766874507279</v>
      </c>
      <c r="V347" s="18">
        <f t="shared" si="324"/>
        <v>0.12190487024011736</v>
      </c>
      <c r="W347" s="32" t="str">
        <f t="shared" si="312"/>
        <v>1-0.299474631878478i</v>
      </c>
      <c r="X347" s="18">
        <f t="shared" si="325"/>
        <v>1.0438798087609271</v>
      </c>
      <c r="Y347" s="18">
        <f t="shared" si="326"/>
        <v>-0.29097473570876631</v>
      </c>
      <c r="Z347" s="32" t="str">
        <f t="shared" si="313"/>
        <v>0.998479242414718+0.146981128389712i</v>
      </c>
      <c r="AA347" s="18">
        <f t="shared" si="327"/>
        <v>1.0092394411812204</v>
      </c>
      <c r="AB347" s="18">
        <f t="shared" si="328"/>
        <v>0.1461553285109522</v>
      </c>
      <c r="AC347" s="68" t="str">
        <f t="shared" si="329"/>
        <v>-0.109325922826078-0.353433739641197i</v>
      </c>
      <c r="AD347" s="66">
        <f t="shared" si="330"/>
        <v>-8.6369945689417644</v>
      </c>
      <c r="AE347" s="63">
        <f t="shared" si="331"/>
        <v>-107.18815022002595</v>
      </c>
      <c r="AF347" s="51" t="e">
        <f t="shared" si="332"/>
        <v>#NUM!</v>
      </c>
      <c r="AG347" s="51" t="str">
        <f t="shared" si="314"/>
        <v>1-91.8842620536242i</v>
      </c>
      <c r="AH347" s="51">
        <f t="shared" si="333"/>
        <v>91.889703520792168</v>
      </c>
      <c r="AI347" s="51">
        <f t="shared" si="334"/>
        <v>-1.5599134998700412</v>
      </c>
      <c r="AJ347" s="51" t="str">
        <f t="shared" si="315"/>
        <v>1+0.122512349404832i</v>
      </c>
      <c r="AK347" s="51">
        <f t="shared" si="335"/>
        <v>1.0074766874507279</v>
      </c>
      <c r="AL347" s="51">
        <f t="shared" si="336"/>
        <v>0.12190487024011736</v>
      </c>
      <c r="AM347" s="51" t="e">
        <f t="shared" si="316"/>
        <v>#NUM!</v>
      </c>
      <c r="AN347" s="51" t="e">
        <f t="shared" si="337"/>
        <v>#NUM!</v>
      </c>
      <c r="AO347" s="51" t="e">
        <f t="shared" si="338"/>
        <v>#NUM!</v>
      </c>
      <c r="AP347" s="60" t="e">
        <f t="shared" si="339"/>
        <v>#NUM!</v>
      </c>
      <c r="AQ347" s="51" t="e">
        <f t="shared" si="340"/>
        <v>#NUM!</v>
      </c>
      <c r="AR347" s="63" t="e">
        <f t="shared" si="341"/>
        <v>#NUM!</v>
      </c>
      <c r="AS347" s="32" t="str">
        <f t="shared" si="317"/>
        <v>-0.000170731707317073</v>
      </c>
      <c r="AT347" s="32" t="str">
        <f t="shared" si="318"/>
        <v>0.00465546927738363i</v>
      </c>
      <c r="AU347" s="32">
        <f t="shared" si="342"/>
        <v>4.6554692773836297E-3</v>
      </c>
      <c r="AV347" s="32">
        <f t="shared" si="343"/>
        <v>1.5707963267948966</v>
      </c>
      <c r="AW347" s="32" t="str">
        <f t="shared" si="319"/>
        <v>1+0.991189386868987i</v>
      </c>
      <c r="AX347" s="32">
        <f t="shared" si="344"/>
        <v>1.4079973013616605</v>
      </c>
      <c r="AY347" s="32">
        <f t="shared" si="345"/>
        <v>0.78097339311229141</v>
      </c>
      <c r="AZ347" s="32" t="str">
        <f t="shared" si="320"/>
        <v>1+18.8325983505108i</v>
      </c>
      <c r="BA347" s="32">
        <f t="shared" si="346"/>
        <v>18.859129370987997</v>
      </c>
      <c r="BB347" s="32">
        <f t="shared" si="347"/>
        <v>1.5177467306209818</v>
      </c>
      <c r="BC347" s="60" t="str">
        <f t="shared" si="348"/>
        <v>-0.330047328494824+0.363812770573039i</v>
      </c>
      <c r="BD347" s="51">
        <f t="shared" si="349"/>
        <v>-6.1745892875057828</v>
      </c>
      <c r="BE347" s="63">
        <f t="shared" si="350"/>
        <v>132.21400269701576</v>
      </c>
      <c r="BF347" s="60" t="str">
        <f t="shared" si="351"/>
        <v>0.164666436796832+0.0768756946897026i</v>
      </c>
      <c r="BG347" s="66">
        <f t="shared" si="352"/>
        <v>-14.811583856447561</v>
      </c>
      <c r="BH347" s="63">
        <f t="shared" si="353"/>
        <v>25.025852476989865</v>
      </c>
      <c r="BI347" s="60" t="e">
        <f t="shared" si="306"/>
        <v>#NUM!</v>
      </c>
      <c r="BJ347" s="66" t="e">
        <f t="shared" si="354"/>
        <v>#NUM!</v>
      </c>
      <c r="BK347" s="63" t="e">
        <f t="shared" si="307"/>
        <v>#NUM!</v>
      </c>
      <c r="BL347" s="51">
        <f t="shared" si="355"/>
        <v>-14.811583856447561</v>
      </c>
      <c r="BM347" s="63">
        <f t="shared" si="356"/>
        <v>25.025852476989865</v>
      </c>
    </row>
    <row r="348" spans="14:65" x14ac:dyDescent="0.3">
      <c r="N348" s="11">
        <v>30</v>
      </c>
      <c r="O348" s="52">
        <f t="shared" si="308"/>
        <v>19952.623149688792</v>
      </c>
      <c r="P348" s="50" t="str">
        <f t="shared" si="309"/>
        <v>23.3035714285714</v>
      </c>
      <c r="Q348" s="18" t="str">
        <f t="shared" si="310"/>
        <v>1+67.160372471687i</v>
      </c>
      <c r="R348" s="18">
        <f t="shared" si="321"/>
        <v>67.16781692548696</v>
      </c>
      <c r="S348" s="18">
        <f t="shared" si="322"/>
        <v>1.5559076942330432</v>
      </c>
      <c r="T348" s="18" t="str">
        <f t="shared" si="311"/>
        <v>1+0.125366028613816i</v>
      </c>
      <c r="U348" s="18">
        <f t="shared" si="323"/>
        <v>1.0078276842448812</v>
      </c>
      <c r="V348" s="18">
        <f t="shared" si="324"/>
        <v>0.1247153757004779</v>
      </c>
      <c r="W348" s="32" t="str">
        <f t="shared" si="312"/>
        <v>1-0.306450292167106i</v>
      </c>
      <c r="X348" s="18">
        <f t="shared" si="325"/>
        <v>1.04590237669168</v>
      </c>
      <c r="Y348" s="18">
        <f t="shared" si="326"/>
        <v>-0.29736393787278859</v>
      </c>
      <c r="Z348" s="32" t="str">
        <f t="shared" si="313"/>
        <v>0.998407571317786+0.15040475867871i</v>
      </c>
      <c r="AA348" s="18">
        <f t="shared" si="327"/>
        <v>1.0096728529072578</v>
      </c>
      <c r="AB348" s="18">
        <f t="shared" si="328"/>
        <v>0.14952035200614905</v>
      </c>
      <c r="AC348" s="68" t="str">
        <f t="shared" si="329"/>
        <v>-0.109556115516767-0.345242050147627i</v>
      </c>
      <c r="AD348" s="66">
        <f t="shared" si="330"/>
        <v>-8.8208398848940703</v>
      </c>
      <c r="AE348" s="63">
        <f t="shared" si="331"/>
        <v>-107.60586326422295</v>
      </c>
      <c r="AF348" s="51" t="e">
        <f t="shared" si="332"/>
        <v>#NUM!</v>
      </c>
      <c r="AG348" s="51" t="str">
        <f t="shared" si="314"/>
        <v>1-94.0245214603622i</v>
      </c>
      <c r="AH348" s="51">
        <f t="shared" si="333"/>
        <v>94.029839071701659</v>
      </c>
      <c r="AI348" s="51">
        <f t="shared" si="334"/>
        <v>-1.5601612043583077</v>
      </c>
      <c r="AJ348" s="51" t="str">
        <f t="shared" si="315"/>
        <v>1+0.125366028613816i</v>
      </c>
      <c r="AK348" s="51">
        <f t="shared" si="335"/>
        <v>1.0078276842448812</v>
      </c>
      <c r="AL348" s="51">
        <f t="shared" si="336"/>
        <v>0.1247153757004779</v>
      </c>
      <c r="AM348" s="51" t="e">
        <f t="shared" si="316"/>
        <v>#NUM!</v>
      </c>
      <c r="AN348" s="51" t="e">
        <f t="shared" si="337"/>
        <v>#NUM!</v>
      </c>
      <c r="AO348" s="51" t="e">
        <f t="shared" si="338"/>
        <v>#NUM!</v>
      </c>
      <c r="AP348" s="60" t="e">
        <f t="shared" si="339"/>
        <v>#NUM!</v>
      </c>
      <c r="AQ348" s="51" t="e">
        <f t="shared" si="340"/>
        <v>#NUM!</v>
      </c>
      <c r="AR348" s="63" t="e">
        <f t="shared" si="341"/>
        <v>#NUM!</v>
      </c>
      <c r="AS348" s="32" t="str">
        <f t="shared" si="317"/>
        <v>-0.000170731707317073</v>
      </c>
      <c r="AT348" s="32" t="str">
        <f t="shared" si="318"/>
        <v>0.004763909087325i</v>
      </c>
      <c r="AU348" s="32">
        <f t="shared" si="342"/>
        <v>4.7639090873249999E-3</v>
      </c>
      <c r="AV348" s="32">
        <f t="shared" si="343"/>
        <v>1.5707963267948966</v>
      </c>
      <c r="AW348" s="32" t="str">
        <f t="shared" si="319"/>
        <v>1+1.01427715360609i</v>
      </c>
      <c r="AX348" s="32">
        <f t="shared" si="344"/>
        <v>1.4243448123004736</v>
      </c>
      <c r="AY348" s="32">
        <f t="shared" si="345"/>
        <v>0.79248602342488228</v>
      </c>
      <c r="AZ348" s="32" t="str">
        <f t="shared" si="320"/>
        <v>1+19.2712659185158i</v>
      </c>
      <c r="BA348" s="32">
        <f t="shared" si="346"/>
        <v>19.297193840093659</v>
      </c>
      <c r="BB348" s="32">
        <f t="shared" si="347"/>
        <v>1.518952099107604</v>
      </c>
      <c r="BC348" s="60" t="str">
        <f t="shared" si="348"/>
        <v>-0.322514756487264+0.362957922987914i</v>
      </c>
      <c r="BD348" s="51">
        <f t="shared" si="349"/>
        <v>-6.2754052094489712</v>
      </c>
      <c r="BE348" s="63">
        <f t="shared" si="350"/>
        <v>131.6234400960513</v>
      </c>
      <c r="BF348" s="60" t="str">
        <f t="shared" si="351"/>
        <v>0.160641801367253+0.071581395593936i</v>
      </c>
      <c r="BG348" s="66">
        <f t="shared" si="352"/>
        <v>-15.096245094343018</v>
      </c>
      <c r="BH348" s="63">
        <f t="shared" si="353"/>
        <v>24.017576831828315</v>
      </c>
      <c r="BI348" s="60" t="e">
        <f t="shared" si="306"/>
        <v>#NUM!</v>
      </c>
      <c r="BJ348" s="66" t="e">
        <f t="shared" si="354"/>
        <v>#NUM!</v>
      </c>
      <c r="BK348" s="63" t="e">
        <f t="shared" si="307"/>
        <v>#NUM!</v>
      </c>
      <c r="BL348" s="51">
        <f t="shared" si="355"/>
        <v>-15.096245094343018</v>
      </c>
      <c r="BM348" s="63">
        <f t="shared" si="356"/>
        <v>24.017576831828315</v>
      </c>
    </row>
    <row r="349" spans="14:65" x14ac:dyDescent="0.3">
      <c r="N349" s="11">
        <v>31</v>
      </c>
      <c r="O349" s="52">
        <f t="shared" si="308"/>
        <v>20417.379446695286</v>
      </c>
      <c r="P349" s="50" t="str">
        <f t="shared" si="309"/>
        <v>23.3035714285714</v>
      </c>
      <c r="Q349" s="18" t="str">
        <f t="shared" si="310"/>
        <v>1+68.7247385092424i</v>
      </c>
      <c r="R349" s="18">
        <f t="shared" si="321"/>
        <v>68.732013524730576</v>
      </c>
      <c r="S349" s="18">
        <f t="shared" si="322"/>
        <v>1.5562465525013365</v>
      </c>
      <c r="T349" s="18" t="str">
        <f t="shared" si="311"/>
        <v>1+0.128286178550586i</v>
      </c>
      <c r="U349" s="18">
        <f t="shared" si="323"/>
        <v>1.0081950920368106</v>
      </c>
      <c r="V349" s="18">
        <f t="shared" si="324"/>
        <v>0.12758929709940484</v>
      </c>
      <c r="W349" s="32" t="str">
        <f t="shared" si="312"/>
        <v>1-0.313588436456988i</v>
      </c>
      <c r="X349" s="18">
        <f t="shared" si="325"/>
        <v>1.0480160816893691</v>
      </c>
      <c r="Y349" s="18">
        <f t="shared" si="326"/>
        <v>-0.30387616134638284</v>
      </c>
      <c r="Z349" s="32" t="str">
        <f t="shared" si="313"/>
        <v>0.998332522466119+0.153908135561602i</v>
      </c>
      <c r="AA349" s="18">
        <f t="shared" si="327"/>
        <v>1.0101264968337444</v>
      </c>
      <c r="AB349" s="18">
        <f t="shared" si="328"/>
        <v>0.15296098531943506</v>
      </c>
      <c r="AC349" s="68" t="str">
        <f t="shared" si="329"/>
        <v>-0.109774652140635-0.337233262628082i</v>
      </c>
      <c r="AD349" s="66">
        <f t="shared" si="330"/>
        <v>-9.003996394126716</v>
      </c>
      <c r="AE349" s="63">
        <f t="shared" si="331"/>
        <v>-108.03087153402484</v>
      </c>
      <c r="AF349" s="51" t="e">
        <f t="shared" si="332"/>
        <v>#NUM!</v>
      </c>
      <c r="AG349" s="51" t="str">
        <f t="shared" si="314"/>
        <v>1-96.2146339129397i</v>
      </c>
      <c r="AH349" s="51">
        <f t="shared" si="333"/>
        <v>96.219830487280575</v>
      </c>
      <c r="AI349" s="51">
        <f t="shared" si="334"/>
        <v>-1.5604032716651828</v>
      </c>
      <c r="AJ349" s="51" t="str">
        <f t="shared" si="315"/>
        <v>1+0.128286178550586i</v>
      </c>
      <c r="AK349" s="51">
        <f t="shared" si="335"/>
        <v>1.0081950920368106</v>
      </c>
      <c r="AL349" s="51">
        <f t="shared" si="336"/>
        <v>0.12758929709940484</v>
      </c>
      <c r="AM349" s="51" t="e">
        <f t="shared" si="316"/>
        <v>#NUM!</v>
      </c>
      <c r="AN349" s="51" t="e">
        <f t="shared" si="337"/>
        <v>#NUM!</v>
      </c>
      <c r="AO349" s="51" t="e">
        <f t="shared" si="338"/>
        <v>#NUM!</v>
      </c>
      <c r="AP349" s="60" t="e">
        <f t="shared" si="339"/>
        <v>#NUM!</v>
      </c>
      <c r="AQ349" s="51" t="e">
        <f t="shared" si="340"/>
        <v>#NUM!</v>
      </c>
      <c r="AR349" s="63" t="e">
        <f t="shared" si="341"/>
        <v>#NUM!</v>
      </c>
      <c r="AS349" s="32" t="str">
        <f t="shared" si="317"/>
        <v>-0.000170731707317073</v>
      </c>
      <c r="AT349" s="32" t="str">
        <f t="shared" si="318"/>
        <v>0.00487487478492228i</v>
      </c>
      <c r="AU349" s="32">
        <f t="shared" si="342"/>
        <v>4.8748747849222803E-3</v>
      </c>
      <c r="AV349" s="32">
        <f t="shared" si="343"/>
        <v>1.5707963267948966</v>
      </c>
      <c r="AW349" s="32" t="str">
        <f t="shared" si="319"/>
        <v>1+1.03790270351558i</v>
      </c>
      <c r="AX349" s="32">
        <f t="shared" si="344"/>
        <v>1.4412640361727442</v>
      </c>
      <c r="AY349" s="32">
        <f t="shared" si="345"/>
        <v>0.80399489715940087</v>
      </c>
      <c r="AZ349" s="32" t="str">
        <f t="shared" si="320"/>
        <v>1+19.7201513667961i</v>
      </c>
      <c r="BA349" s="32">
        <f t="shared" si="346"/>
        <v>19.7454898629877</v>
      </c>
      <c r="BB349" s="32">
        <f t="shared" si="347"/>
        <v>1.5201301757773953</v>
      </c>
      <c r="BC349" s="60" t="str">
        <f t="shared" si="348"/>
        <v>-0.314987099226083+0.361948750105072i</v>
      </c>
      <c r="BD349" s="51">
        <f t="shared" si="349"/>
        <v>-6.3784983790624405</v>
      </c>
      <c r="BE349" s="63">
        <f t="shared" si="350"/>
        <v>131.03152902523635</v>
      </c>
      <c r="BF349" s="60" t="str">
        <f t="shared" si="351"/>
        <v>0.156638757148421+0.0664913290222455i</v>
      </c>
      <c r="BG349" s="66">
        <f t="shared" si="352"/>
        <v>-15.382494773189141</v>
      </c>
      <c r="BH349" s="63">
        <f t="shared" si="353"/>
        <v>23.000657491211481</v>
      </c>
      <c r="BI349" s="60" t="e">
        <f t="shared" si="306"/>
        <v>#NUM!</v>
      </c>
      <c r="BJ349" s="66" t="e">
        <f t="shared" si="354"/>
        <v>#NUM!</v>
      </c>
      <c r="BK349" s="63" t="e">
        <f t="shared" si="307"/>
        <v>#NUM!</v>
      </c>
      <c r="BL349" s="51">
        <f t="shared" si="355"/>
        <v>-15.382494773189141</v>
      </c>
      <c r="BM349" s="63">
        <f t="shared" si="356"/>
        <v>23.000657491211481</v>
      </c>
    </row>
    <row r="350" spans="14:65" x14ac:dyDescent="0.3">
      <c r="N350" s="11">
        <v>32</v>
      </c>
      <c r="O350" s="52">
        <f t="shared" si="308"/>
        <v>20892.961308540423</v>
      </c>
      <c r="P350" s="50" t="str">
        <f t="shared" si="309"/>
        <v>23.3035714285714</v>
      </c>
      <c r="Q350" s="18" t="str">
        <f t="shared" si="310"/>
        <v>1+70.3255433128354i</v>
      </c>
      <c r="R350" s="18">
        <f t="shared" si="321"/>
        <v>70.332652745687682</v>
      </c>
      <c r="S350" s="18">
        <f t="shared" si="322"/>
        <v>1.5565777006427024</v>
      </c>
      <c r="T350" s="18" t="str">
        <f t="shared" si="311"/>
        <v>1+0.131274347517293i</v>
      </c>
      <c r="U350" s="18">
        <f t="shared" si="323"/>
        <v>1.0085796717741693</v>
      </c>
      <c r="V350" s="18">
        <f t="shared" si="324"/>
        <v>0.13052796823133236</v>
      </c>
      <c r="W350" s="32" t="str">
        <f t="shared" si="312"/>
        <v>1-0.320892849486716i</v>
      </c>
      <c r="X350" s="18">
        <f t="shared" si="325"/>
        <v>1.0502248429987286</v>
      </c>
      <c r="Y350" s="18">
        <f t="shared" si="326"/>
        <v>-0.31051264877822249</v>
      </c>
      <c r="Z350" s="32" t="str">
        <f t="shared" si="313"/>
        <v>0.998253936671039+0.157493116575184i</v>
      </c>
      <c r="AA350" s="18">
        <f t="shared" si="327"/>
        <v>1.0106013080576293</v>
      </c>
      <c r="AB350" s="18">
        <f t="shared" si="328"/>
        <v>0.15647879669814763</v>
      </c>
      <c r="AC350" s="68" t="str">
        <f t="shared" si="329"/>
        <v>-0.109981999091889-0.329403164804421i</v>
      </c>
      <c r="AD350" s="66">
        <f t="shared" si="330"/>
        <v>-9.1864374313020924</v>
      </c>
      <c r="AE350" s="63">
        <f t="shared" si="331"/>
        <v>-108.46326993744161</v>
      </c>
      <c r="AF350" s="51" t="e">
        <f t="shared" si="332"/>
        <v>#NUM!</v>
      </c>
      <c r="AG350" s="51" t="str">
        <f t="shared" si="314"/>
        <v>1-98.45576063797i</v>
      </c>
      <c r="AH350" s="51">
        <f t="shared" si="333"/>
        <v>98.460838930009345</v>
      </c>
      <c r="AI350" s="51">
        <f t="shared" si="334"/>
        <v>-1.5606398300244171</v>
      </c>
      <c r="AJ350" s="51" t="str">
        <f t="shared" si="315"/>
        <v>1+0.131274347517293i</v>
      </c>
      <c r="AK350" s="51">
        <f t="shared" si="335"/>
        <v>1.0085796717741693</v>
      </c>
      <c r="AL350" s="51">
        <f t="shared" si="336"/>
        <v>0.13052796823133236</v>
      </c>
      <c r="AM350" s="51" t="e">
        <f t="shared" si="316"/>
        <v>#NUM!</v>
      </c>
      <c r="AN350" s="51" t="e">
        <f t="shared" si="337"/>
        <v>#NUM!</v>
      </c>
      <c r="AO350" s="51" t="e">
        <f t="shared" si="338"/>
        <v>#NUM!</v>
      </c>
      <c r="AP350" s="60" t="e">
        <f t="shared" si="339"/>
        <v>#NUM!</v>
      </c>
      <c r="AQ350" s="51" t="e">
        <f t="shared" si="340"/>
        <v>#NUM!</v>
      </c>
      <c r="AR350" s="63" t="e">
        <f t="shared" si="341"/>
        <v>#NUM!</v>
      </c>
      <c r="AS350" s="32" t="str">
        <f t="shared" si="317"/>
        <v>-0.000170731707317073</v>
      </c>
      <c r="AT350" s="32" t="str">
        <f t="shared" si="318"/>
        <v>0.00498842520565713i</v>
      </c>
      <c r="AU350" s="32">
        <f t="shared" si="342"/>
        <v>4.9884252056571297E-3</v>
      </c>
      <c r="AV350" s="32">
        <f t="shared" si="343"/>
        <v>1.5707963267948966</v>
      </c>
      <c r="AW350" s="32" t="str">
        <f t="shared" si="319"/>
        <v>1+1.06207856317675i</v>
      </c>
      <c r="AX350" s="32">
        <f t="shared" si="344"/>
        <v>1.4587703295445758</v>
      </c>
      <c r="AY350" s="32">
        <f t="shared" si="345"/>
        <v>0.81549392235777651</v>
      </c>
      <c r="AZ350" s="32" t="str">
        <f t="shared" si="320"/>
        <v>1+20.1794927003583i</v>
      </c>
      <c r="BA350" s="32">
        <f t="shared" si="346"/>
        <v>20.204255137069861</v>
      </c>
      <c r="BB350" s="32">
        <f t="shared" si="347"/>
        <v>1.5212815721746888</v>
      </c>
      <c r="BC350" s="60" t="str">
        <f t="shared" si="348"/>
        <v>-0.307472319231532+0.360785331281488i</v>
      </c>
      <c r="BD350" s="51">
        <f t="shared" si="349"/>
        <v>-6.4838671808603232</v>
      </c>
      <c r="BE350" s="63">
        <f t="shared" si="350"/>
        <v>130.43865356696637</v>
      </c>
      <c r="BF350" s="60" t="str">
        <f t="shared" si="351"/>
        <v>0.152660250273637+0.0616024630672544i</v>
      </c>
      <c r="BG350" s="66">
        <f t="shared" si="352"/>
        <v>-15.670304612162413</v>
      </c>
      <c r="BH350" s="63">
        <f t="shared" si="353"/>
        <v>21.975383629524735</v>
      </c>
      <c r="BI350" s="60" t="e">
        <f t="shared" si="306"/>
        <v>#NUM!</v>
      </c>
      <c r="BJ350" s="66" t="e">
        <f t="shared" si="354"/>
        <v>#NUM!</v>
      </c>
      <c r="BK350" s="63" t="e">
        <f t="shared" si="307"/>
        <v>#NUM!</v>
      </c>
      <c r="BL350" s="51">
        <f t="shared" si="355"/>
        <v>-15.670304612162413</v>
      </c>
      <c r="BM350" s="63">
        <f t="shared" si="356"/>
        <v>21.975383629524735</v>
      </c>
    </row>
    <row r="351" spans="14:65" x14ac:dyDescent="0.3">
      <c r="N351" s="11">
        <v>33</v>
      </c>
      <c r="O351" s="52">
        <f t="shared" si="308"/>
        <v>21379.620895022348</v>
      </c>
      <c r="P351" s="50" t="str">
        <f t="shared" si="309"/>
        <v>23.3035714285714</v>
      </c>
      <c r="Q351" s="18" t="str">
        <f t="shared" si="310"/>
        <v>1+71.9636356503609i</v>
      </c>
      <c r="R351" s="18">
        <f t="shared" si="321"/>
        <v>71.970583268568092</v>
      </c>
      <c r="S351" s="18">
        <f t="shared" si="322"/>
        <v>1.5569013139455945</v>
      </c>
      <c r="T351" s="18" t="str">
        <f t="shared" si="311"/>
        <v>1+0.134332119880674i</v>
      </c>
      <c r="U351" s="18">
        <f t="shared" si="323"/>
        <v>1.0089822190859636</v>
      </c>
      <c r="V351" s="18">
        <f t="shared" si="324"/>
        <v>0.13353274408880014</v>
      </c>
      <c r="W351" s="32" t="str">
        <f t="shared" si="312"/>
        <v>1-0.328367404152759i</v>
      </c>
      <c r="X351" s="18">
        <f t="shared" si="325"/>
        <v>1.0525327320848608</v>
      </c>
      <c r="Y351" s="18">
        <f t="shared" si="326"/>
        <v>-0.31727457976900797</v>
      </c>
      <c r="Z351" s="32" t="str">
        <f t="shared" si="313"/>
        <v>0.998171647241541+0.161161602523842i</v>
      </c>
      <c r="AA351" s="18">
        <f t="shared" si="327"/>
        <v>1.0110982640104493</v>
      </c>
      <c r="AB351" s="18">
        <f t="shared" si="328"/>
        <v>0.16007537775026431</v>
      </c>
      <c r="AC351" s="68" t="str">
        <f t="shared" si="329"/>
        <v>-0.110178599409661-0.32174763849698i</v>
      </c>
      <c r="AD351" s="66">
        <f t="shared" si="330"/>
        <v>-9.3681355785399205</v>
      </c>
      <c r="AE351" s="63">
        <f t="shared" si="331"/>
        <v>-108.90314966096959</v>
      </c>
      <c r="AF351" s="51" t="e">
        <f t="shared" si="332"/>
        <v>#NUM!</v>
      </c>
      <c r="AG351" s="51" t="str">
        <f t="shared" si="314"/>
        <v>1-100.749089910506i</v>
      </c>
      <c r="AH351" s="51">
        <f t="shared" si="333"/>
        <v>100.75405261226577</v>
      </c>
      <c r="AI351" s="51">
        <f t="shared" si="334"/>
        <v>-1.5608710047564205</v>
      </c>
      <c r="AJ351" s="51" t="str">
        <f t="shared" si="315"/>
        <v>1+0.134332119880674i</v>
      </c>
      <c r="AK351" s="51">
        <f t="shared" si="335"/>
        <v>1.0089822190859636</v>
      </c>
      <c r="AL351" s="51">
        <f t="shared" si="336"/>
        <v>0.13353274408880014</v>
      </c>
      <c r="AM351" s="51" t="e">
        <f t="shared" si="316"/>
        <v>#NUM!</v>
      </c>
      <c r="AN351" s="51" t="e">
        <f t="shared" si="337"/>
        <v>#NUM!</v>
      </c>
      <c r="AO351" s="51" t="e">
        <f t="shared" si="338"/>
        <v>#NUM!</v>
      </c>
      <c r="AP351" s="60" t="e">
        <f t="shared" si="339"/>
        <v>#NUM!</v>
      </c>
      <c r="AQ351" s="51" t="e">
        <f t="shared" si="340"/>
        <v>#NUM!</v>
      </c>
      <c r="AR351" s="63" t="e">
        <f t="shared" si="341"/>
        <v>#NUM!</v>
      </c>
      <c r="AS351" s="32" t="str">
        <f t="shared" si="317"/>
        <v>-0.000170731707317073</v>
      </c>
      <c r="AT351" s="32" t="str">
        <f t="shared" si="318"/>
        <v>0.00510462055546562i</v>
      </c>
      <c r="AU351" s="32">
        <f t="shared" si="342"/>
        <v>5.1046205554656204E-3</v>
      </c>
      <c r="AV351" s="32">
        <f t="shared" si="343"/>
        <v>1.5707963267948966</v>
      </c>
      <c r="AW351" s="32" t="str">
        <f t="shared" si="319"/>
        <v>1+1.08681755095038i</v>
      </c>
      <c r="AX351" s="32">
        <f t="shared" si="344"/>
        <v>1.4768792736895529</v>
      </c>
      <c r="AY351" s="32">
        <f t="shared" si="345"/>
        <v>0.82697703310431003</v>
      </c>
      <c r="AZ351" s="32" t="str">
        <f t="shared" si="320"/>
        <v>1+20.6495334680572i</v>
      </c>
      <c r="BA351" s="32">
        <f t="shared" si="346"/>
        <v>20.673732910348203</v>
      </c>
      <c r="BB351" s="32">
        <f t="shared" si="347"/>
        <v>1.5224068865667841</v>
      </c>
      <c r="BC351" s="60" t="str">
        <f t="shared" si="348"/>
        <v>-0.299978324580345+0.359468211175136i</v>
      </c>
      <c r="BD351" s="51">
        <f t="shared" si="349"/>
        <v>-6.5915075237172882</v>
      </c>
      <c r="BE351" s="63">
        <f t="shared" si="350"/>
        <v>129.84519555080109</v>
      </c>
      <c r="BF351" s="60" t="str">
        <f t="shared" si="351"/>
        <v>0.148709239715853+0.0569116134944338i</v>
      </c>
      <c r="BG351" s="66">
        <f t="shared" si="352"/>
        <v>-15.9596431022572</v>
      </c>
      <c r="BH351" s="63">
        <f t="shared" si="353"/>
        <v>20.942045889831466</v>
      </c>
      <c r="BI351" s="60" t="e">
        <f t="shared" si="306"/>
        <v>#NUM!</v>
      </c>
      <c r="BJ351" s="66" t="e">
        <f t="shared" si="354"/>
        <v>#NUM!</v>
      </c>
      <c r="BK351" s="63" t="e">
        <f t="shared" si="307"/>
        <v>#NUM!</v>
      </c>
      <c r="BL351" s="51">
        <f t="shared" si="355"/>
        <v>-15.9596431022572</v>
      </c>
      <c r="BM351" s="63">
        <f t="shared" si="356"/>
        <v>20.942045889831466</v>
      </c>
    </row>
    <row r="352" spans="14:65" x14ac:dyDescent="0.3">
      <c r="N352" s="11">
        <v>34</v>
      </c>
      <c r="O352" s="52">
        <f t="shared" si="308"/>
        <v>21877.61623949555</v>
      </c>
      <c r="P352" s="50" t="str">
        <f t="shared" si="309"/>
        <v>23.3035714285714</v>
      </c>
      <c r="Q352" s="18" t="str">
        <f t="shared" si="310"/>
        <v>1+73.6398840600599i</v>
      </c>
      <c r="R352" s="18">
        <f t="shared" si="321"/>
        <v>73.646673545918304</v>
      </c>
      <c r="S352" s="18">
        <f t="shared" si="322"/>
        <v>1.5572175637227896</v>
      </c>
      <c r="T352" s="18" t="str">
        <f t="shared" si="311"/>
        <v>1+0.137461116912112i</v>
      </c>
      <c r="U352" s="18">
        <f t="shared" si="323"/>
        <v>1.0094035658064249</v>
      </c>
      <c r="V352" s="18">
        <f t="shared" si="324"/>
        <v>0.13660500069563408</v>
      </c>
      <c r="W352" s="32" t="str">
        <f t="shared" si="312"/>
        <v>1-0.336016063562941i</v>
      </c>
      <c r="X352" s="18">
        <f t="shared" si="325"/>
        <v>1.0549439771724063</v>
      </c>
      <c r="Y352" s="18">
        <f t="shared" si="326"/>
        <v>-0.324163065284306</v>
      </c>
      <c r="Z352" s="32" t="str">
        <f t="shared" si="313"/>
        <v>0.998085479630709+0.164915538487384i</v>
      </c>
      <c r="AA352" s="18">
        <f t="shared" si="327"/>
        <v>1.0116183862921069</v>
      </c>
      <c r="AB352" s="18">
        <f t="shared" si="328"/>
        <v>0.16375234312081438</v>
      </c>
      <c r="AC352" s="68" t="str">
        <f t="shared" si="329"/>
        <v>-0.110364873741939-0.314262657589549i</v>
      </c>
      <c r="AD352" s="66">
        <f t="shared" si="330"/>
        <v>-9.5490626668607064</v>
      </c>
      <c r="AE352" s="63">
        <f t="shared" si="331"/>
        <v>-109.350597845734</v>
      </c>
      <c r="AF352" s="51" t="e">
        <f t="shared" si="332"/>
        <v>#NUM!</v>
      </c>
      <c r="AG352" s="51" t="str">
        <f t="shared" si="314"/>
        <v>1-103.095837684084i</v>
      </c>
      <c r="AH352" s="51">
        <f t="shared" si="333"/>
        <v>103.10068742633578</v>
      </c>
      <c r="AI352" s="51">
        <f t="shared" si="334"/>
        <v>-1.5610969183342045</v>
      </c>
      <c r="AJ352" s="51" t="str">
        <f t="shared" si="315"/>
        <v>1+0.137461116912112i</v>
      </c>
      <c r="AK352" s="51">
        <f t="shared" si="335"/>
        <v>1.0094035658064249</v>
      </c>
      <c r="AL352" s="51">
        <f t="shared" si="336"/>
        <v>0.13660500069563408</v>
      </c>
      <c r="AM352" s="51" t="e">
        <f t="shared" si="316"/>
        <v>#NUM!</v>
      </c>
      <c r="AN352" s="51" t="e">
        <f t="shared" si="337"/>
        <v>#NUM!</v>
      </c>
      <c r="AO352" s="51" t="e">
        <f t="shared" si="338"/>
        <v>#NUM!</v>
      </c>
      <c r="AP352" s="60" t="e">
        <f t="shared" si="339"/>
        <v>#NUM!</v>
      </c>
      <c r="AQ352" s="51" t="e">
        <f t="shared" si="340"/>
        <v>#NUM!</v>
      </c>
      <c r="AR352" s="63" t="e">
        <f t="shared" si="341"/>
        <v>#NUM!</v>
      </c>
      <c r="AS352" s="32" t="str">
        <f t="shared" si="317"/>
        <v>-0.000170731707317073</v>
      </c>
      <c r="AT352" s="32" t="str">
        <f t="shared" si="318"/>
        <v>0.00522352244266026i</v>
      </c>
      <c r="AU352" s="32">
        <f t="shared" si="342"/>
        <v>5.2235224426602604E-3</v>
      </c>
      <c r="AV352" s="32">
        <f t="shared" si="343"/>
        <v>1.5707963267948966</v>
      </c>
      <c r="AW352" s="32" t="str">
        <f t="shared" si="319"/>
        <v>1+1.11213278377525i</v>
      </c>
      <c r="AX352" s="32">
        <f t="shared" si="344"/>
        <v>1.4956066758167692</v>
      </c>
      <c r="AY352" s="32">
        <f t="shared" si="345"/>
        <v>0.83843820545278824</v>
      </c>
      <c r="AZ352" s="32" t="str">
        <f t="shared" si="320"/>
        <v>1+21.1305228917299i</v>
      </c>
      <c r="BA352" s="32">
        <f t="shared" si="346"/>
        <v>21.154172110435361</v>
      </c>
      <c r="BB352" s="32">
        <f t="shared" si="347"/>
        <v>1.5235067042036134</v>
      </c>
      <c r="BC352" s="60" t="str">
        <f t="shared" si="348"/>
        <v>-0.292512935766192+0.357998393300212i</v>
      </c>
      <c r="BD352" s="51">
        <f t="shared" si="349"/>
        <v>-6.701412864762732</v>
      </c>
      <c r="BE352" s="63">
        <f t="shared" si="350"/>
        <v>129.25153365578555</v>
      </c>
      <c r="BF352" s="60" t="str">
        <f t="shared" si="351"/>
        <v>0.144788679715033+0.0524154450968096i</v>
      </c>
      <c r="BG352" s="66">
        <f t="shared" si="352"/>
        <v>-16.250475531623433</v>
      </c>
      <c r="BH352" s="63">
        <f t="shared" si="353"/>
        <v>19.900935810051518</v>
      </c>
      <c r="BI352" s="60" t="e">
        <f t="shared" si="306"/>
        <v>#NUM!</v>
      </c>
      <c r="BJ352" s="66" t="e">
        <f t="shared" si="354"/>
        <v>#NUM!</v>
      </c>
      <c r="BK352" s="63" t="e">
        <f t="shared" si="307"/>
        <v>#NUM!</v>
      </c>
      <c r="BL352" s="51">
        <f t="shared" si="355"/>
        <v>-16.250475531623433</v>
      </c>
      <c r="BM352" s="63">
        <f t="shared" si="356"/>
        <v>19.900935810051518</v>
      </c>
    </row>
    <row r="353" spans="14:65" x14ac:dyDescent="0.3">
      <c r="N353" s="11">
        <v>35</v>
      </c>
      <c r="O353" s="52">
        <f t="shared" si="308"/>
        <v>22387.211385683382</v>
      </c>
      <c r="P353" s="50" t="str">
        <f t="shared" si="309"/>
        <v>23.3035714285714</v>
      </c>
      <c r="Q353" s="18" t="str">
        <f t="shared" si="310"/>
        <v>1+75.3551773110261i</v>
      </c>
      <c r="R353" s="18">
        <f t="shared" si="321"/>
        <v>75.361812263083095</v>
      </c>
      <c r="S353" s="18">
        <f t="shared" si="322"/>
        <v>1.5575266174009252</v>
      </c>
      <c r="T353" s="18" t="str">
        <f t="shared" si="311"/>
        <v>1+0.140662997647249i</v>
      </c>
      <c r="U353" s="18">
        <f t="shared" si="323"/>
        <v>1.0098445815605044</v>
      </c>
      <c r="V353" s="18">
        <f t="shared" si="324"/>
        <v>0.13974613489427501</v>
      </c>
      <c r="W353" s="32" t="str">
        <f t="shared" si="312"/>
        <v>1-0.34384288313772i</v>
      </c>
      <c r="X353" s="18">
        <f t="shared" si="325"/>
        <v>1.0574629678076013</v>
      </c>
      <c r="Y353" s="18">
        <f t="shared" si="326"/>
        <v>-0.33117914187181952</v>
      </c>
      <c r="Z353" s="32" t="str">
        <f t="shared" si="313"/>
        <v>0.997995251065491+0.168756914852346i</v>
      </c>
      <c r="AA353" s="18">
        <f t="shared" si="327"/>
        <v>1.0121627425763875</v>
      </c>
      <c r="AB353" s="18">
        <f t="shared" si="328"/>
        <v>0.16751133010725819</v>
      </c>
      <c r="AC353" s="68" t="str">
        <f t="shared" si="329"/>
        <v>-0.110541221264977-0.306944286039582i</v>
      </c>
      <c r="AD353" s="66">
        <f t="shared" si="330"/>
        <v>-9.7291897800288538</v>
      </c>
      <c r="AE353" s="63">
        <f t="shared" si="331"/>
        <v>-109.80569725144068</v>
      </c>
      <c r="AF353" s="51" t="e">
        <f t="shared" si="332"/>
        <v>#NUM!</v>
      </c>
      <c r="AG353" s="51" t="str">
        <f t="shared" si="314"/>
        <v>1-105.497248235437i</v>
      </c>
      <c r="AH353" s="51">
        <f t="shared" si="333"/>
        <v>105.50198758909434</v>
      </c>
      <c r="AI353" s="51">
        <f t="shared" si="334"/>
        <v>-1.5613176904478454</v>
      </c>
      <c r="AJ353" s="51" t="str">
        <f t="shared" si="315"/>
        <v>1+0.140662997647249i</v>
      </c>
      <c r="AK353" s="51">
        <f t="shared" si="335"/>
        <v>1.0098445815605044</v>
      </c>
      <c r="AL353" s="51">
        <f t="shared" si="336"/>
        <v>0.13974613489427501</v>
      </c>
      <c r="AM353" s="51" t="e">
        <f t="shared" si="316"/>
        <v>#NUM!</v>
      </c>
      <c r="AN353" s="51" t="e">
        <f t="shared" si="337"/>
        <v>#NUM!</v>
      </c>
      <c r="AO353" s="51" t="e">
        <f t="shared" si="338"/>
        <v>#NUM!</v>
      </c>
      <c r="AP353" s="60" t="e">
        <f t="shared" si="339"/>
        <v>#NUM!</v>
      </c>
      <c r="AQ353" s="51" t="e">
        <f t="shared" si="340"/>
        <v>#NUM!</v>
      </c>
      <c r="AR353" s="63" t="e">
        <f t="shared" si="341"/>
        <v>#NUM!</v>
      </c>
      <c r="AS353" s="32" t="str">
        <f t="shared" si="317"/>
        <v>-0.000170731707317073</v>
      </c>
      <c r="AT353" s="32" t="str">
        <f t="shared" si="318"/>
        <v>0.00534519391059548i</v>
      </c>
      <c r="AU353" s="32">
        <f t="shared" si="342"/>
        <v>5.3451939105954799E-3</v>
      </c>
      <c r="AV353" s="32">
        <f t="shared" si="343"/>
        <v>1.5707963267948966</v>
      </c>
      <c r="AW353" s="32" t="str">
        <f t="shared" si="319"/>
        <v>1+1.1380376841229i</v>
      </c>
      <c r="AX353" s="32">
        <f t="shared" si="344"/>
        <v>1.5149685707907652</v>
      </c>
      <c r="AY353" s="32">
        <f t="shared" si="345"/>
        <v>0.84987147308433209</v>
      </c>
      <c r="AZ353" s="32" t="str">
        <f t="shared" si="320"/>
        <v>1+21.6227159983351i</v>
      </c>
      <c r="BA353" s="32">
        <f t="shared" si="346"/>
        <v>21.645827476552075</v>
      </c>
      <c r="BB353" s="32">
        <f t="shared" si="347"/>
        <v>1.52458159757429</v>
      </c>
      <c r="BC353" s="60" t="str">
        <f t="shared" si="348"/>
        <v>-0.285083853341911+0.356377330742687i</v>
      </c>
      <c r="BD353" s="51">
        <f t="shared" si="349"/>
        <v>-6.8135742431990378</v>
      </c>
      <c r="BE353" s="63">
        <f t="shared" si="350"/>
        <v>128.65804252802101</v>
      </c>
      <c r="BF353" s="60" t="str">
        <f t="shared" si="351"/>
        <v>0.140901502656846+0.0481104744539965i</v>
      </c>
      <c r="BG353" s="66">
        <f t="shared" si="352"/>
        <v>-16.542764023227921</v>
      </c>
      <c r="BH353" s="63">
        <f t="shared" si="353"/>
        <v>18.852345276580387</v>
      </c>
      <c r="BI353" s="60" t="e">
        <f t="shared" si="306"/>
        <v>#NUM!</v>
      </c>
      <c r="BJ353" s="66" t="e">
        <f t="shared" si="354"/>
        <v>#NUM!</v>
      </c>
      <c r="BK353" s="63" t="e">
        <f t="shared" si="307"/>
        <v>#NUM!</v>
      </c>
      <c r="BL353" s="51">
        <f t="shared" si="355"/>
        <v>-16.542764023227921</v>
      </c>
      <c r="BM353" s="63">
        <f t="shared" si="356"/>
        <v>18.852345276580387</v>
      </c>
    </row>
    <row r="354" spans="14:65" x14ac:dyDescent="0.3">
      <c r="N354" s="11">
        <v>36</v>
      </c>
      <c r="O354" s="52">
        <f t="shared" si="308"/>
        <v>22908.676527677751</v>
      </c>
      <c r="P354" s="50" t="str">
        <f t="shared" si="309"/>
        <v>23.3035714285714</v>
      </c>
      <c r="Q354" s="18" t="str">
        <f t="shared" si="310"/>
        <v>1+77.1104248744472i</v>
      </c>
      <c r="R354" s="18">
        <f t="shared" si="321"/>
        <v>77.116908809402915</v>
      </c>
      <c r="S354" s="18">
        <f t="shared" si="322"/>
        <v>1.5578286386080649</v>
      </c>
      <c r="T354" s="18" t="str">
        <f t="shared" si="311"/>
        <v>1+0.143939459765635i</v>
      </c>
      <c r="U354" s="18">
        <f t="shared" si="323"/>
        <v>1.0103061754129898</v>
      </c>
      <c r="V354" s="18">
        <f t="shared" si="324"/>
        <v>0.14295756408381993</v>
      </c>
      <c r="W354" s="32" t="str">
        <f t="shared" si="312"/>
        <v>1-0.351852012760441i</v>
      </c>
      <c r="X354" s="18">
        <f t="shared" si="325"/>
        <v>1.0600942594333644</v>
      </c>
      <c r="Y354" s="18">
        <f t="shared" si="326"/>
        <v>-0.33832376569187245</v>
      </c>
      <c r="Z354" s="32" t="str">
        <f t="shared" si="313"/>
        <v>0.997900770159001+0.172687768367326i</v>
      </c>
      <c r="AA354" s="18">
        <f t="shared" si="327"/>
        <v>1.0127324485902556</v>
      </c>
      <c r="AB354" s="18">
        <f t="shared" si="328"/>
        <v>0.17135399820956856</v>
      </c>
      <c r="AC354" s="68" t="str">
        <f t="shared" si="329"/>
        <v>-0.110708020560303-0.299788675933074i</v>
      </c>
      <c r="AD354" s="66">
        <f t="shared" si="330"/>
        <v>-9.9084872609898724</v>
      </c>
      <c r="AE354" s="63">
        <f t="shared" si="331"/>
        <v>-110.26852590859674</v>
      </c>
      <c r="AF354" s="51" t="e">
        <f t="shared" si="332"/>
        <v>#NUM!</v>
      </c>
      <c r="AG354" s="51" t="str">
        <f t="shared" si="314"/>
        <v>1-107.954594824227i</v>
      </c>
      <c r="AH354" s="51">
        <f t="shared" si="333"/>
        <v>107.95922630170624</v>
      </c>
      <c r="AI354" s="51">
        <f t="shared" si="334"/>
        <v>-1.5615334380675074</v>
      </c>
      <c r="AJ354" s="51" t="str">
        <f t="shared" si="315"/>
        <v>1+0.143939459765635i</v>
      </c>
      <c r="AK354" s="51">
        <f t="shared" si="335"/>
        <v>1.0103061754129898</v>
      </c>
      <c r="AL354" s="51">
        <f t="shared" si="336"/>
        <v>0.14295756408381993</v>
      </c>
      <c r="AM354" s="51" t="e">
        <f t="shared" si="316"/>
        <v>#NUM!</v>
      </c>
      <c r="AN354" s="51" t="e">
        <f t="shared" si="337"/>
        <v>#NUM!</v>
      </c>
      <c r="AO354" s="51" t="e">
        <f t="shared" si="338"/>
        <v>#NUM!</v>
      </c>
      <c r="AP354" s="60" t="e">
        <f t="shared" si="339"/>
        <v>#NUM!</v>
      </c>
      <c r="AQ354" s="51" t="e">
        <f t="shared" si="340"/>
        <v>#NUM!</v>
      </c>
      <c r="AR354" s="63" t="e">
        <f t="shared" si="341"/>
        <v>#NUM!</v>
      </c>
      <c r="AS354" s="32" t="str">
        <f t="shared" si="317"/>
        <v>-0.000170731707317073</v>
      </c>
      <c r="AT354" s="32" t="str">
        <f t="shared" si="318"/>
        <v>0.00546969947109412i</v>
      </c>
      <c r="AU354" s="32">
        <f t="shared" si="342"/>
        <v>5.4696994710941201E-3</v>
      </c>
      <c r="AV354" s="32">
        <f t="shared" si="343"/>
        <v>1.5707963267948966</v>
      </c>
      <c r="AW354" s="32" t="str">
        <f t="shared" si="319"/>
        <v>1+1.16454598711439i</v>
      </c>
      <c r="AX354" s="32">
        <f t="shared" si="344"/>
        <v>1.5349812233718785</v>
      </c>
      <c r="AY354" s="32">
        <f t="shared" si="345"/>
        <v>0.86127094259769676</v>
      </c>
      <c r="AZ354" s="32" t="str">
        <f t="shared" si="320"/>
        <v>1+22.1263737551734i</v>
      </c>
      <c r="BA354" s="32">
        <f t="shared" si="346"/>
        <v>22.148959694613794</v>
      </c>
      <c r="BB354" s="32">
        <f t="shared" si="347"/>
        <v>1.5256321266604393</v>
      </c>
      <c r="BC354" s="60" t="str">
        <f t="shared" si="348"/>
        <v>-0.277698626625196+0.35460691414367i</v>
      </c>
      <c r="BD354" s="51">
        <f t="shared" si="349"/>
        <v>-6.9279803237639648</v>
      </c>
      <c r="BE354" s="63">
        <f t="shared" si="350"/>
        <v>128.06509191910911</v>
      </c>
      <c r="BF354" s="60" t="str">
        <f t="shared" si="351"/>
        <v>0.137050602533834+0.0439930740425576i</v>
      </c>
      <c r="BG354" s="66">
        <f t="shared" si="352"/>
        <v>-16.836467584753848</v>
      </c>
      <c r="BH354" s="63">
        <f t="shared" si="353"/>
        <v>17.796566010512397</v>
      </c>
      <c r="BI354" s="60" t="e">
        <f t="shared" si="306"/>
        <v>#NUM!</v>
      </c>
      <c r="BJ354" s="66" t="e">
        <f t="shared" si="354"/>
        <v>#NUM!</v>
      </c>
      <c r="BK354" s="63" t="e">
        <f t="shared" si="307"/>
        <v>#NUM!</v>
      </c>
      <c r="BL354" s="51">
        <f t="shared" si="355"/>
        <v>-16.836467584753848</v>
      </c>
      <c r="BM354" s="63">
        <f t="shared" si="356"/>
        <v>17.796566010512397</v>
      </c>
    </row>
    <row r="355" spans="14:65" x14ac:dyDescent="0.3">
      <c r="N355" s="11">
        <v>37</v>
      </c>
      <c r="O355" s="52">
        <f t="shared" si="308"/>
        <v>23442.288153199243</v>
      </c>
      <c r="P355" s="50" t="str">
        <f t="shared" si="309"/>
        <v>23.3035714285714</v>
      </c>
      <c r="Q355" s="18" t="str">
        <f t="shared" si="310"/>
        <v>1+78.9065574058134i</v>
      </c>
      <c r="R355" s="18">
        <f t="shared" si="321"/>
        <v>78.912893760379404</v>
      </c>
      <c r="S355" s="18">
        <f t="shared" si="322"/>
        <v>1.5581237872593281</v>
      </c>
      <c r="T355" s="18" t="str">
        <f t="shared" si="311"/>
        <v>1+0.147292240490852i</v>
      </c>
      <c r="U355" s="18">
        <f t="shared" si="323"/>
        <v>1.0107892975832378</v>
      </c>
      <c r="V355" s="18">
        <f t="shared" si="324"/>
        <v>0.14624072590510293</v>
      </c>
      <c r="W355" s="32" t="str">
        <f t="shared" si="312"/>
        <v>1-0.360047698977638i</v>
      </c>
      <c r="X355" s="18">
        <f t="shared" si="325"/>
        <v>1.0628425779667898</v>
      </c>
      <c r="Y355" s="18">
        <f t="shared" si="326"/>
        <v>-0.34559780637183601</v>
      </c>
      <c r="Z355" s="32" t="str">
        <f t="shared" si="313"/>
        <v>0.997801836504569+0.176710183222887i</v>
      </c>
      <c r="AA355" s="18">
        <f t="shared" si="327"/>
        <v>1.0133286701690409</v>
      </c>
      <c r="AB355" s="18">
        <f t="shared" si="328"/>
        <v>0.17528202861051081</v>
      </c>
      <c r="AC355" s="68" t="str">
        <f t="shared" si="329"/>
        <v>-0.110865630451362-0.292792065583677i</v>
      </c>
      <c r="AD355" s="66">
        <f t="shared" si="330"/>
        <v>-10.086924721095798</v>
      </c>
      <c r="AE355" s="63">
        <f t="shared" si="331"/>
        <v>-110.73915675956664</v>
      </c>
      <c r="AF355" s="51" t="e">
        <f t="shared" si="332"/>
        <v>#NUM!</v>
      </c>
      <c r="AG355" s="51" t="str">
        <f t="shared" si="314"/>
        <v>1-110.469180368139i</v>
      </c>
      <c r="AH355" s="51">
        <f t="shared" si="333"/>
        <v>110.47370642468927</v>
      </c>
      <c r="AI355" s="51">
        <f t="shared" si="334"/>
        <v>-1.5617442755050479</v>
      </c>
      <c r="AJ355" s="51" t="str">
        <f t="shared" si="315"/>
        <v>1+0.147292240490852i</v>
      </c>
      <c r="AK355" s="51">
        <f t="shared" si="335"/>
        <v>1.0107892975832378</v>
      </c>
      <c r="AL355" s="51">
        <f t="shared" si="336"/>
        <v>0.14624072590510293</v>
      </c>
      <c r="AM355" s="51" t="e">
        <f t="shared" si="316"/>
        <v>#NUM!</v>
      </c>
      <c r="AN355" s="51" t="e">
        <f t="shared" si="337"/>
        <v>#NUM!</v>
      </c>
      <c r="AO355" s="51" t="e">
        <f t="shared" si="338"/>
        <v>#NUM!</v>
      </c>
      <c r="AP355" s="60" t="e">
        <f t="shared" si="339"/>
        <v>#NUM!</v>
      </c>
      <c r="AQ355" s="51" t="e">
        <f t="shared" si="340"/>
        <v>#NUM!</v>
      </c>
      <c r="AR355" s="63" t="e">
        <f t="shared" si="341"/>
        <v>#NUM!</v>
      </c>
      <c r="AS355" s="32" t="str">
        <f t="shared" si="317"/>
        <v>-0.000170731707317073</v>
      </c>
      <c r="AT355" s="32" t="str">
        <f t="shared" si="318"/>
        <v>0.00559710513865236i</v>
      </c>
      <c r="AU355" s="32">
        <f t="shared" si="342"/>
        <v>5.5971051386523602E-3</v>
      </c>
      <c r="AV355" s="32">
        <f t="shared" si="343"/>
        <v>1.5707963267948966</v>
      </c>
      <c r="AW355" s="32" t="str">
        <f t="shared" si="319"/>
        <v>1+1.19167174780283i</v>
      </c>
      <c r="AX355" s="32">
        <f t="shared" si="344"/>
        <v>1.5556611310023309</v>
      </c>
      <c r="AY355" s="32">
        <f t="shared" si="345"/>
        <v>0.87263080833804996</v>
      </c>
      <c r="AZ355" s="32" t="str">
        <f t="shared" si="320"/>
        <v>1+22.6417632082538i</v>
      </c>
      <c r="BA355" s="32">
        <f t="shared" si="346"/>
        <v>22.663835535465644</v>
      </c>
      <c r="BB355" s="32">
        <f t="shared" si="347"/>
        <v>1.5266588391862039</v>
      </c>
      <c r="BC355" s="60" t="str">
        <f t="shared" si="348"/>
        <v>-0.270364623733249+0.35268945708908i</v>
      </c>
      <c r="BD355" s="51">
        <f t="shared" si="349"/>
        <v>-7.0446174494772453</v>
      </c>
      <c r="BE355" s="63">
        <f t="shared" si="350"/>
        <v>127.47304585085122</v>
      </c>
      <c r="BF355" s="60" t="str">
        <f t="shared" si="351"/>
        <v>0.133238819112629+0.0400594776298821i</v>
      </c>
      <c r="BG355" s="66">
        <f t="shared" si="352"/>
        <v>-17.131542170573063</v>
      </c>
      <c r="BH355" s="63">
        <f t="shared" si="353"/>
        <v>16.733889091284588</v>
      </c>
      <c r="BI355" s="60" t="e">
        <f t="shared" si="306"/>
        <v>#NUM!</v>
      </c>
      <c r="BJ355" s="66" t="e">
        <f t="shared" si="354"/>
        <v>#NUM!</v>
      </c>
      <c r="BK355" s="63" t="e">
        <f t="shared" si="307"/>
        <v>#NUM!</v>
      </c>
      <c r="BL355" s="51">
        <f t="shared" si="355"/>
        <v>-17.131542170573063</v>
      </c>
      <c r="BM355" s="63">
        <f t="shared" si="356"/>
        <v>16.733889091284588</v>
      </c>
    </row>
    <row r="356" spans="14:65" x14ac:dyDescent="0.3">
      <c r="N356" s="11">
        <v>38</v>
      </c>
      <c r="O356" s="52">
        <f t="shared" si="308"/>
        <v>23988.329190194923</v>
      </c>
      <c r="P356" s="50" t="str">
        <f t="shared" si="309"/>
        <v>23.3035714285714</v>
      </c>
      <c r="Q356" s="18" t="str">
        <f t="shared" si="310"/>
        <v>1+80.7445272383677i</v>
      </c>
      <c r="R356" s="18">
        <f t="shared" si="321"/>
        <v>80.750719371083633</v>
      </c>
      <c r="S356" s="18">
        <f t="shared" si="322"/>
        <v>1.5584122196406289</v>
      </c>
      <c r="T356" s="18" t="str">
        <f t="shared" si="311"/>
        <v>1+0.15072311751162i</v>
      </c>
      <c r="U356" s="18">
        <f t="shared" si="323"/>
        <v>1.011294941227544</v>
      </c>
      <c r="V356" s="18">
        <f t="shared" si="324"/>
        <v>0.14959707786900958</v>
      </c>
      <c r="W356" s="32" t="str">
        <f t="shared" si="312"/>
        <v>1-0.368434287250627i</v>
      </c>
      <c r="X356" s="18">
        <f t="shared" si="325"/>
        <v>1.0657128243677456</v>
      </c>
      <c r="Y356" s="18">
        <f t="shared" si="326"/>
        <v>-0.35300204069755609</v>
      </c>
      <c r="Z356" s="32" t="str">
        <f t="shared" si="313"/>
        <v>0.997698240250651+0.180826292156628i</v>
      </c>
      <c r="AA356" s="18">
        <f t="shared" si="327"/>
        <v>1.0139526253895494</v>
      </c>
      <c r="AB356" s="18">
        <f t="shared" si="328"/>
        <v>0.17929712358147218</v>
      </c>
      <c r="AC356" s="68" t="str">
        <f t="shared" si="329"/>
        <v>-0.111014390801775-0.285950777675447i</v>
      </c>
      <c r="AD356" s="66">
        <f t="shared" si="330"/>
        <v>-10.264471052319315</v>
      </c>
      <c r="AE356" s="63">
        <f t="shared" si="331"/>
        <v>-111.21765728916772</v>
      </c>
      <c r="AF356" s="51" t="e">
        <f t="shared" si="332"/>
        <v>#NUM!</v>
      </c>
      <c r="AG356" s="51" t="str">
        <f t="shared" si="314"/>
        <v>1-113.042338133715i</v>
      </c>
      <c r="AH356" s="51">
        <f t="shared" si="333"/>
        <v>113.04676116871796</v>
      </c>
      <c r="AI356" s="51">
        <f t="shared" si="334"/>
        <v>-1.5619503144742466</v>
      </c>
      <c r="AJ356" s="51" t="str">
        <f t="shared" si="315"/>
        <v>1+0.15072311751162i</v>
      </c>
      <c r="AK356" s="51">
        <f t="shared" si="335"/>
        <v>1.011294941227544</v>
      </c>
      <c r="AL356" s="51">
        <f t="shared" si="336"/>
        <v>0.14959707786900958</v>
      </c>
      <c r="AM356" s="51" t="e">
        <f t="shared" si="316"/>
        <v>#NUM!</v>
      </c>
      <c r="AN356" s="51" t="e">
        <f t="shared" si="337"/>
        <v>#NUM!</v>
      </c>
      <c r="AO356" s="51" t="e">
        <f t="shared" si="338"/>
        <v>#NUM!</v>
      </c>
      <c r="AP356" s="60" t="e">
        <f t="shared" si="339"/>
        <v>#NUM!</v>
      </c>
      <c r="AQ356" s="51" t="e">
        <f t="shared" si="340"/>
        <v>#NUM!</v>
      </c>
      <c r="AR356" s="63" t="e">
        <f t="shared" si="341"/>
        <v>#NUM!</v>
      </c>
      <c r="AS356" s="32" t="str">
        <f t="shared" si="317"/>
        <v>-0.000170731707317073</v>
      </c>
      <c r="AT356" s="32" t="str">
        <f t="shared" si="318"/>
        <v>0.00572747846544156i</v>
      </c>
      <c r="AU356" s="32">
        <f t="shared" si="342"/>
        <v>5.7274784654415597E-3</v>
      </c>
      <c r="AV356" s="32">
        <f t="shared" si="343"/>
        <v>1.5707963267948966</v>
      </c>
      <c r="AW356" s="32" t="str">
        <f t="shared" si="319"/>
        <v>1+1.21942934862559i</v>
      </c>
      <c r="AX356" s="32">
        <f t="shared" si="344"/>
        <v>1.5770250271601369</v>
      </c>
      <c r="AY356" s="32">
        <f t="shared" si="345"/>
        <v>0.88394536667566603</v>
      </c>
      <c r="AZ356" s="32" t="str">
        <f t="shared" si="320"/>
        <v>1+23.1691576238862i</v>
      </c>
      <c r="BA356" s="32">
        <f t="shared" si="346"/>
        <v>23.190727996345522</v>
      </c>
      <c r="BB356" s="32">
        <f t="shared" si="347"/>
        <v>1.5276622708648473</v>
      </c>
      <c r="BC356" s="60" t="str">
        <f t="shared" si="348"/>
        <v>-0.263089003192115+0.350627679073013i</v>
      </c>
      <c r="BD356" s="51">
        <f t="shared" si="349"/>
        <v>-7.1634697032281363</v>
      </c>
      <c r="BE356" s="63">
        <f t="shared" si="350"/>
        <v>126.88226181126744</v>
      </c>
      <c r="BF356" s="60" t="str">
        <f t="shared" si="351"/>
        <v>0.129468922921484+0.0363057868701126i</v>
      </c>
      <c r="BG356" s="66">
        <f t="shared" si="352"/>
        <v>-17.427940755547453</v>
      </c>
      <c r="BH356" s="63">
        <f t="shared" si="353"/>
        <v>15.664604522099735</v>
      </c>
      <c r="BI356" s="60" t="e">
        <f t="shared" si="306"/>
        <v>#NUM!</v>
      </c>
      <c r="BJ356" s="66" t="e">
        <f t="shared" si="354"/>
        <v>#NUM!</v>
      </c>
      <c r="BK356" s="63" t="e">
        <f t="shared" si="307"/>
        <v>#NUM!</v>
      </c>
      <c r="BL356" s="51">
        <f t="shared" si="355"/>
        <v>-17.427940755547453</v>
      </c>
      <c r="BM356" s="63">
        <f t="shared" si="356"/>
        <v>15.664604522099735</v>
      </c>
    </row>
    <row r="357" spans="14:65" x14ac:dyDescent="0.3">
      <c r="N357" s="11">
        <v>39</v>
      </c>
      <c r="O357" s="52">
        <f t="shared" si="308"/>
        <v>24547.089156850321</v>
      </c>
      <c r="P357" s="50" t="str">
        <f t="shared" si="309"/>
        <v>23.3035714285714</v>
      </c>
      <c r="Q357" s="18" t="str">
        <f t="shared" si="310"/>
        <v>1+82.625308888044i</v>
      </c>
      <c r="R357" s="18">
        <f t="shared" si="321"/>
        <v>82.631360081053273</v>
      </c>
      <c r="S357" s="18">
        <f t="shared" si="322"/>
        <v>1.5586940884905589</v>
      </c>
      <c r="T357" s="18" t="str">
        <f t="shared" si="311"/>
        <v>1+0.154233909924349i</v>
      </c>
      <c r="U357" s="18">
        <f t="shared" si="323"/>
        <v>1.0118241442911668</v>
      </c>
      <c r="V357" s="18">
        <f t="shared" si="324"/>
        <v>0.15302809692397265</v>
      </c>
      <c r="W357" s="32" t="str">
        <f t="shared" si="312"/>
        <v>1-0.37701622425952i</v>
      </c>
      <c r="X357" s="18">
        <f t="shared" si="325"/>
        <v>1.068710079186542</v>
      </c>
      <c r="Y357" s="18">
        <f t="shared" si="326"/>
        <v>-0.36053714615706123</v>
      </c>
      <c r="Z357" s="32" t="str">
        <f t="shared" si="313"/>
        <v>0.997589761655703+0.18503827758399i</v>
      </c>
      <c r="AA357" s="18">
        <f t="shared" si="327"/>
        <v>1.0146055867831265</v>
      </c>
      <c r="AB357" s="18">
        <f t="shared" si="328"/>
        <v>0.183401005808943</v>
      </c>
      <c r="AC357" s="68" t="str">
        <f t="shared" si="329"/>
        <v>-0.111154623277139-0.279261217448773i</v>
      </c>
      <c r="AD357" s="66">
        <f t="shared" si="330"/>
        <v>-10.44109444265321</v>
      </c>
      <c r="AE357" s="63">
        <f t="shared" si="331"/>
        <v>-111.70408914563501</v>
      </c>
      <c r="AF357" s="51" t="e">
        <f t="shared" si="332"/>
        <v>#NUM!</v>
      </c>
      <c r="AG357" s="51" t="str">
        <f t="shared" si="314"/>
        <v>1-115.675432443262i</v>
      </c>
      <c r="AH357" s="51">
        <f t="shared" si="333"/>
        <v>115.67975480150217</v>
      </c>
      <c r="AI357" s="51">
        <f t="shared" si="334"/>
        <v>-1.5621516641496778</v>
      </c>
      <c r="AJ357" s="51" t="str">
        <f t="shared" si="315"/>
        <v>1+0.154233909924349i</v>
      </c>
      <c r="AK357" s="51">
        <f t="shared" si="335"/>
        <v>1.0118241442911668</v>
      </c>
      <c r="AL357" s="51">
        <f t="shared" si="336"/>
        <v>0.15302809692397265</v>
      </c>
      <c r="AM357" s="51" t="e">
        <f t="shared" si="316"/>
        <v>#NUM!</v>
      </c>
      <c r="AN357" s="51" t="e">
        <f t="shared" si="337"/>
        <v>#NUM!</v>
      </c>
      <c r="AO357" s="51" t="e">
        <f t="shared" si="338"/>
        <v>#NUM!</v>
      </c>
      <c r="AP357" s="60" t="e">
        <f t="shared" si="339"/>
        <v>#NUM!</v>
      </c>
      <c r="AQ357" s="51" t="e">
        <f t="shared" si="340"/>
        <v>#NUM!</v>
      </c>
      <c r="AR357" s="63" t="e">
        <f t="shared" si="341"/>
        <v>#NUM!</v>
      </c>
      <c r="AS357" s="32" t="str">
        <f t="shared" si="317"/>
        <v>-0.000170731707317073</v>
      </c>
      <c r="AT357" s="32" t="str">
        <f t="shared" si="318"/>
        <v>0.00586088857712527i</v>
      </c>
      <c r="AU357" s="32">
        <f t="shared" si="342"/>
        <v>5.8608885771252702E-3</v>
      </c>
      <c r="AV357" s="32">
        <f t="shared" si="343"/>
        <v>1.5707963267948966</v>
      </c>
      <c r="AW357" s="32" t="str">
        <f t="shared" si="319"/>
        <v>1+1.24783350703005i</v>
      </c>
      <c r="AX357" s="32">
        <f t="shared" si="344"/>
        <v>1.5990898852994206</v>
      </c>
      <c r="AY357" s="32">
        <f t="shared" si="345"/>
        <v>0.89520902965226901</v>
      </c>
      <c r="AZ357" s="32" t="str">
        <f t="shared" si="320"/>
        <v>1+23.7088366335709i</v>
      </c>
      <c r="BA357" s="32">
        <f t="shared" si="346"/>
        <v>23.729916445646275</v>
      </c>
      <c r="BB357" s="32">
        <f t="shared" si="347"/>
        <v>1.5286429456418824</v>
      </c>
      <c r="BC357" s="60" t="str">
        <f t="shared" si="348"/>
        <v>-0.255878687343138+0.348424686227482i</v>
      </c>
      <c r="BD357" s="51">
        <f t="shared" si="349"/>
        <v>-7.2845189776931321</v>
      </c>
      <c r="BE357" s="63">
        <f t="shared" si="350"/>
        <v>126.29308998664919</v>
      </c>
      <c r="BF357" s="60" t="str">
        <f t="shared" si="351"/>
        <v>0.125743601161369+0.0327279790085675i</v>
      </c>
      <c r="BG357" s="66">
        <f t="shared" si="352"/>
        <v>-17.72561342034632</v>
      </c>
      <c r="BH357" s="63">
        <f t="shared" si="353"/>
        <v>14.589000841014133</v>
      </c>
      <c r="BI357" s="60" t="e">
        <f t="shared" si="306"/>
        <v>#NUM!</v>
      </c>
      <c r="BJ357" s="66" t="e">
        <f t="shared" si="354"/>
        <v>#NUM!</v>
      </c>
      <c r="BK357" s="63" t="e">
        <f t="shared" si="307"/>
        <v>#NUM!</v>
      </c>
      <c r="BL357" s="51">
        <f t="shared" si="355"/>
        <v>-17.72561342034632</v>
      </c>
      <c r="BM357" s="63">
        <f t="shared" si="356"/>
        <v>14.589000841014133</v>
      </c>
    </row>
    <row r="358" spans="14:65" x14ac:dyDescent="0.3">
      <c r="N358" s="11">
        <v>40</v>
      </c>
      <c r="O358" s="52">
        <f t="shared" si="308"/>
        <v>25118.86431509586</v>
      </c>
      <c r="P358" s="50" t="str">
        <f t="shared" si="309"/>
        <v>23.3035714285714</v>
      </c>
      <c r="Q358" s="18" t="str">
        <f t="shared" si="310"/>
        <v>1+84.5498995701684i</v>
      </c>
      <c r="R358" s="18">
        <f t="shared" si="321"/>
        <v>84.555813030953487</v>
      </c>
      <c r="S358" s="18">
        <f t="shared" si="322"/>
        <v>1.558969543080454</v>
      </c>
      <c r="T358" s="18" t="str">
        <f t="shared" si="311"/>
        <v>1+0.157826479197648i</v>
      </c>
      <c r="U358" s="18">
        <f t="shared" si="323"/>
        <v>1.0123779914320172</v>
      </c>
      <c r="V358" s="18">
        <f t="shared" si="324"/>
        <v>0.1565352789584353</v>
      </c>
      <c r="W358" s="32" t="str">
        <f t="shared" si="312"/>
        <v>1-0.385798060260917i</v>
      </c>
      <c r="X358" s="18">
        <f t="shared" si="325"/>
        <v>1.0718396070779836</v>
      </c>
      <c r="Y358" s="18">
        <f t="shared" si="326"/>
        <v>-0.3682036943544012</v>
      </c>
      <c r="Z358" s="32" t="str">
        <f t="shared" si="313"/>
        <v>0.997476170622079+0.189348372755398i</v>
      </c>
      <c r="AA358" s="18">
        <f t="shared" si="327"/>
        <v>1.0152888836306659</v>
      </c>
      <c r="AB358" s="18">
        <f t="shared" si="328"/>
        <v>0.18759541763657253</v>
      </c>
      <c r="AC358" s="68" t="str">
        <f t="shared" si="329"/>
        <v>-0.111286632072216-0.272719870928949i</v>
      </c>
      <c r="AD358" s="66">
        <f t="shared" si="330"/>
        <v>-10.616762394892875</v>
      </c>
      <c r="AE358" s="63">
        <f t="shared" si="331"/>
        <v>-112.19850775292883</v>
      </c>
      <c r="AF358" s="51" t="e">
        <f t="shared" si="332"/>
        <v>#NUM!</v>
      </c>
      <c r="AG358" s="51" t="str">
        <f t="shared" si="314"/>
        <v>1-118.369859398236i</v>
      </c>
      <c r="AH358" s="51">
        <f t="shared" si="333"/>
        <v>118.37408337114235</v>
      </c>
      <c r="AI358" s="51">
        <f t="shared" si="334"/>
        <v>-1.5623484312242624</v>
      </c>
      <c r="AJ358" s="51" t="str">
        <f t="shared" si="315"/>
        <v>1+0.157826479197648i</v>
      </c>
      <c r="AK358" s="51">
        <f t="shared" si="335"/>
        <v>1.0123779914320172</v>
      </c>
      <c r="AL358" s="51">
        <f t="shared" si="336"/>
        <v>0.1565352789584353</v>
      </c>
      <c r="AM358" s="51" t="e">
        <f t="shared" si="316"/>
        <v>#NUM!</v>
      </c>
      <c r="AN358" s="51" t="e">
        <f t="shared" si="337"/>
        <v>#NUM!</v>
      </c>
      <c r="AO358" s="51" t="e">
        <f t="shared" si="338"/>
        <v>#NUM!</v>
      </c>
      <c r="AP358" s="60" t="e">
        <f t="shared" si="339"/>
        <v>#NUM!</v>
      </c>
      <c r="AQ358" s="51" t="e">
        <f t="shared" si="340"/>
        <v>#NUM!</v>
      </c>
      <c r="AR358" s="63" t="e">
        <f t="shared" si="341"/>
        <v>#NUM!</v>
      </c>
      <c r="AS358" s="32" t="str">
        <f t="shared" si="317"/>
        <v>-0.000170731707317073</v>
      </c>
      <c r="AT358" s="32" t="str">
        <f t="shared" si="318"/>
        <v>0.00599740620951062i</v>
      </c>
      <c r="AU358" s="32">
        <f t="shared" si="342"/>
        <v>5.9974062095106201E-3</v>
      </c>
      <c r="AV358" s="32">
        <f t="shared" si="343"/>
        <v>1.5707963267948966</v>
      </c>
      <c r="AW358" s="32" t="str">
        <f t="shared" si="319"/>
        <v>1+1.27689928327697i</v>
      </c>
      <c r="AX358" s="32">
        <f t="shared" si="344"/>
        <v>1.6218729233923477</v>
      </c>
      <c r="AY358" s="32">
        <f t="shared" si="345"/>
        <v>0.90641633791999576</v>
      </c>
      <c r="AZ358" s="32" t="str">
        <f t="shared" si="320"/>
        <v>1+24.2610863822625i</v>
      </c>
      <c r="BA358" s="32">
        <f t="shared" si="346"/>
        <v>24.281686771054499</v>
      </c>
      <c r="BB358" s="32">
        <f t="shared" si="347"/>
        <v>1.5296013759346585</v>
      </c>
      <c r="BC358" s="60" t="str">
        <f t="shared" si="348"/>
        <v>-0.248740337742948+0.346083950033373i</v>
      </c>
      <c r="BD358" s="51">
        <f t="shared" si="349"/>
        <v>-7.4077450530064901</v>
      </c>
      <c r="BE358" s="63">
        <f t="shared" si="350"/>
        <v>125.70587253393992</v>
      </c>
      <c r="BF358" s="60" t="str">
        <f t="shared" si="351"/>
        <v>0.122065444631601+0.0293219155906168i</v>
      </c>
      <c r="BG358" s="66">
        <f t="shared" si="352"/>
        <v>-18.024507447899335</v>
      </c>
      <c r="BH358" s="63">
        <f t="shared" si="353"/>
        <v>13.507364781011045</v>
      </c>
      <c r="BI358" s="60" t="e">
        <f t="shared" si="306"/>
        <v>#NUM!</v>
      </c>
      <c r="BJ358" s="66" t="e">
        <f t="shared" si="354"/>
        <v>#NUM!</v>
      </c>
      <c r="BK358" s="63" t="e">
        <f t="shared" si="307"/>
        <v>#NUM!</v>
      </c>
      <c r="BL358" s="51">
        <f t="shared" si="355"/>
        <v>-18.024507447899335</v>
      </c>
      <c r="BM358" s="63">
        <f t="shared" si="356"/>
        <v>13.507364781011045</v>
      </c>
    </row>
    <row r="359" spans="14:65" x14ac:dyDescent="0.3">
      <c r="N359" s="11">
        <v>41</v>
      </c>
      <c r="O359" s="52">
        <f t="shared" si="308"/>
        <v>25703.95782768865</v>
      </c>
      <c r="P359" s="50" t="str">
        <f t="shared" si="309"/>
        <v>23.3035714285714</v>
      </c>
      <c r="Q359" s="18" t="str">
        <f t="shared" si="310"/>
        <v>1+86.5193197281947i</v>
      </c>
      <c r="R359" s="18">
        <f t="shared" si="321"/>
        <v>86.525098591273405</v>
      </c>
      <c r="S359" s="18">
        <f t="shared" si="322"/>
        <v>1.5592387292926868</v>
      </c>
      <c r="T359" s="18" t="str">
        <f t="shared" si="311"/>
        <v>1+0.161502730159297i</v>
      </c>
      <c r="U359" s="18">
        <f t="shared" si="323"/>
        <v>1.0129576160180183</v>
      </c>
      <c r="V359" s="18">
        <f t="shared" si="324"/>
        <v>0.16012013823385315</v>
      </c>
      <c r="W359" s="32" t="str">
        <f t="shared" si="312"/>
        <v>1-0.394784451500504i</v>
      </c>
      <c r="X359" s="18">
        <f t="shared" si="325"/>
        <v>1.075106861268476</v>
      </c>
      <c r="Y359" s="18">
        <f t="shared" si="326"/>
        <v>-0.3760021443140194</v>
      </c>
      <c r="Z359" s="32" t="str">
        <f t="shared" si="313"/>
        <v>0.99735722620797+0.193758862940363i</v>
      </c>
      <c r="AA359" s="18">
        <f t="shared" si="327"/>
        <v>1.016003904341513</v>
      </c>
      <c r="AB359" s="18">
        <f t="shared" si="328"/>
        <v>0.19188212021753726</v>
      </c>
      <c r="AC359" s="68" t="str">
        <f t="shared" si="329"/>
        <v>-0.111410704605314-0.266323303196836i</v>
      </c>
      <c r="AD359" s="66">
        <f t="shared" si="330"/>
        <v>-10.79144174899656</v>
      </c>
      <c r="AE359" s="63">
        <f t="shared" si="331"/>
        <v>-112.70096191551031</v>
      </c>
      <c r="AF359" s="51" t="e">
        <f t="shared" si="332"/>
        <v>#NUM!</v>
      </c>
      <c r="AG359" s="51" t="str">
        <f t="shared" si="314"/>
        <v>1-121.127047619473i</v>
      </c>
      <c r="AH359" s="51">
        <f t="shared" si="333"/>
        <v>121.13117544633205</v>
      </c>
      <c r="AI359" s="51">
        <f t="shared" si="334"/>
        <v>-1.5625407199655268</v>
      </c>
      <c r="AJ359" s="51" t="str">
        <f t="shared" si="315"/>
        <v>1+0.161502730159297i</v>
      </c>
      <c r="AK359" s="51">
        <f t="shared" si="335"/>
        <v>1.0129576160180183</v>
      </c>
      <c r="AL359" s="51">
        <f t="shared" si="336"/>
        <v>0.16012013823385315</v>
      </c>
      <c r="AM359" s="51" t="e">
        <f t="shared" si="316"/>
        <v>#NUM!</v>
      </c>
      <c r="AN359" s="51" t="e">
        <f t="shared" si="337"/>
        <v>#NUM!</v>
      </c>
      <c r="AO359" s="51" t="e">
        <f t="shared" si="338"/>
        <v>#NUM!</v>
      </c>
      <c r="AP359" s="60" t="e">
        <f t="shared" si="339"/>
        <v>#NUM!</v>
      </c>
      <c r="AQ359" s="51" t="e">
        <f t="shared" si="340"/>
        <v>#NUM!</v>
      </c>
      <c r="AR359" s="63" t="e">
        <f t="shared" si="341"/>
        <v>#NUM!</v>
      </c>
      <c r="AS359" s="32" t="str">
        <f t="shared" si="317"/>
        <v>-0.000170731707317073</v>
      </c>
      <c r="AT359" s="32" t="str">
        <f t="shared" si="318"/>
        <v>0.00613710374605329i</v>
      </c>
      <c r="AU359" s="32">
        <f t="shared" si="342"/>
        <v>6.13710374605329E-3</v>
      </c>
      <c r="AV359" s="32">
        <f t="shared" si="343"/>
        <v>1.5707963267948966</v>
      </c>
      <c r="AW359" s="32" t="str">
        <f t="shared" si="319"/>
        <v>1+1.30664208842564i</v>
      </c>
      <c r="AX359" s="32">
        <f t="shared" si="344"/>
        <v>1.6453916090843901</v>
      </c>
      <c r="AY359" s="32">
        <f t="shared" si="345"/>
        <v>0.91756197290583785</v>
      </c>
      <c r="AZ359" s="32" t="str">
        <f t="shared" si="320"/>
        <v>1+24.8261996800871i</v>
      </c>
      <c r="BA359" s="32">
        <f t="shared" si="346"/>
        <v>24.846331531144731</v>
      </c>
      <c r="BB359" s="32">
        <f t="shared" si="347"/>
        <v>1.5305380628683627</v>
      </c>
      <c r="BC359" s="60" t="str">
        <f t="shared" si="348"/>
        <v>-0.241680332725042+0.343609284245653i</v>
      </c>
      <c r="BD359" s="51">
        <f t="shared" si="349"/>
        <v>-7.5331256815511125</v>
      </c>
      <c r="BE359" s="63">
        <f t="shared" si="350"/>
        <v>125.12094289728411</v>
      </c>
      <c r="BF359" s="60" t="str">
        <f t="shared" si="351"/>
        <v>0.118436935747547+0.0260833520623077i</v>
      </c>
      <c r="BG359" s="66">
        <f t="shared" si="352"/>
        <v>-18.324567430547638</v>
      </c>
      <c r="BH359" s="63">
        <f t="shared" si="353"/>
        <v>12.419980981773737</v>
      </c>
      <c r="BI359" s="60" t="e">
        <f t="shared" si="306"/>
        <v>#NUM!</v>
      </c>
      <c r="BJ359" s="66" t="e">
        <f t="shared" si="354"/>
        <v>#NUM!</v>
      </c>
      <c r="BK359" s="63" t="e">
        <f t="shared" si="307"/>
        <v>#NUM!</v>
      </c>
      <c r="BL359" s="51">
        <f t="shared" si="355"/>
        <v>-18.324567430547638</v>
      </c>
      <c r="BM359" s="63">
        <f t="shared" si="356"/>
        <v>12.419980981773737</v>
      </c>
    </row>
    <row r="360" spans="14:65" x14ac:dyDescent="0.3">
      <c r="N360" s="11">
        <v>42</v>
      </c>
      <c r="O360" s="52">
        <f t="shared" si="308"/>
        <v>26302.679918953829</v>
      </c>
      <c r="P360" s="50" t="str">
        <f t="shared" si="309"/>
        <v>23.3035714285714</v>
      </c>
      <c r="Q360" s="18" t="str">
        <f t="shared" si="310"/>
        <v>1+88.5346135747595i</v>
      </c>
      <c r="R360" s="18">
        <f t="shared" si="321"/>
        <v>88.54026090334267</v>
      </c>
      <c r="S360" s="18">
        <f t="shared" si="322"/>
        <v>1.5595017896972159</v>
      </c>
      <c r="T360" s="18" t="str">
        <f t="shared" si="311"/>
        <v>1+0.165264612006218i</v>
      </c>
      <c r="U360" s="18">
        <f t="shared" si="323"/>
        <v>1.0135642022001201</v>
      </c>
      <c r="V360" s="18">
        <f t="shared" si="324"/>
        <v>0.16378420674362368</v>
      </c>
      <c r="W360" s="32" t="str">
        <f t="shared" si="312"/>
        <v>1-0.403980162681866i</v>
      </c>
      <c r="X360" s="18">
        <f t="shared" si="325"/>
        <v>1.0785174879622801</v>
      </c>
      <c r="Y360" s="18">
        <f t="shared" si="326"/>
        <v>-0.38393283569882286</v>
      </c>
      <c r="Z360" s="32" t="str">
        <f t="shared" si="313"/>
        <v>0.997232676116324+0.19827208663916i</v>
      </c>
      <c r="AA360" s="18">
        <f t="shared" si="327"/>
        <v>1.0167520989181049</v>
      </c>
      <c r="AB360" s="18">
        <f t="shared" si="328"/>
        <v>0.19626289257175256</v>
      </c>
      <c r="AC360" s="68" t="str">
        <f t="shared" si="329"/>
        <v>-0.111527112181621-0.260068156701105i</v>
      </c>
      <c r="AD360" s="66">
        <f t="shared" si="330"/>
        <v>-10.965098708211301</v>
      </c>
      <c r="AE360" s="63">
        <f t="shared" si="331"/>
        <v>-113.21149341686427</v>
      </c>
      <c r="AF360" s="51" t="e">
        <f t="shared" si="332"/>
        <v>#NUM!</v>
      </c>
      <c r="AG360" s="51" t="str">
        <f t="shared" si="314"/>
        <v>1-123.948459004664i</v>
      </c>
      <c r="AH360" s="51">
        <f t="shared" si="333"/>
        <v>123.95249287380578</v>
      </c>
      <c r="AI360" s="51">
        <f t="shared" si="334"/>
        <v>-1.5627286322705951</v>
      </c>
      <c r="AJ360" s="51" t="str">
        <f t="shared" si="315"/>
        <v>1+0.165264612006218i</v>
      </c>
      <c r="AK360" s="51">
        <f t="shared" si="335"/>
        <v>1.0135642022001201</v>
      </c>
      <c r="AL360" s="51">
        <f t="shared" si="336"/>
        <v>0.16378420674362368</v>
      </c>
      <c r="AM360" s="51" t="e">
        <f t="shared" si="316"/>
        <v>#NUM!</v>
      </c>
      <c r="AN360" s="51" t="e">
        <f t="shared" si="337"/>
        <v>#NUM!</v>
      </c>
      <c r="AO360" s="51" t="e">
        <f t="shared" si="338"/>
        <v>#NUM!</v>
      </c>
      <c r="AP360" s="60" t="e">
        <f t="shared" si="339"/>
        <v>#NUM!</v>
      </c>
      <c r="AQ360" s="51" t="e">
        <f t="shared" si="340"/>
        <v>#NUM!</v>
      </c>
      <c r="AR360" s="63" t="e">
        <f t="shared" si="341"/>
        <v>#NUM!</v>
      </c>
      <c r="AS360" s="32" t="str">
        <f t="shared" si="317"/>
        <v>-0.000170731707317073</v>
      </c>
      <c r="AT360" s="32" t="str">
        <f t="shared" si="318"/>
        <v>0.00628005525623629i</v>
      </c>
      <c r="AU360" s="32">
        <f t="shared" si="342"/>
        <v>6.2800552562362897E-3</v>
      </c>
      <c r="AV360" s="32">
        <f t="shared" si="343"/>
        <v>1.5707963267948966</v>
      </c>
      <c r="AW360" s="32" t="str">
        <f t="shared" si="319"/>
        <v>1+1.33707769250504i</v>
      </c>
      <c r="AX360" s="32">
        <f t="shared" si="344"/>
        <v>1.6696636654711638</v>
      </c>
      <c r="AY360" s="32">
        <f t="shared" si="345"/>
        <v>0.92864076814287877</v>
      </c>
      <c r="AZ360" s="32" t="str">
        <f t="shared" si="320"/>
        <v>1+25.4044761575958i</v>
      </c>
      <c r="BA360" s="32">
        <f t="shared" si="346"/>
        <v>25.424150110512123</v>
      </c>
      <c r="BB360" s="32">
        <f t="shared" si="347"/>
        <v>1.531453496508397</v>
      </c>
      <c r="BC360" s="60" t="str">
        <f t="shared" si="348"/>
        <v>-0.234704747261144+0.34100482028i</v>
      </c>
      <c r="BD360" s="51">
        <f t="shared" si="349"/>
        <v>-7.660636679189798</v>
      </c>
      <c r="BE360" s="63">
        <f t="shared" si="350"/>
        <v>124.53862517211037</v>
      </c>
      <c r="BF360" s="60" t="str">
        <f t="shared" si="351"/>
        <v>0.114860437713764+0.0230079481433634i</v>
      </c>
      <c r="BG360" s="66">
        <f t="shared" si="352"/>
        <v>-18.625735387401086</v>
      </c>
      <c r="BH360" s="63">
        <f t="shared" si="353"/>
        <v>11.327131755246091</v>
      </c>
      <c r="BI360" s="60" t="e">
        <f t="shared" si="306"/>
        <v>#NUM!</v>
      </c>
      <c r="BJ360" s="66" t="e">
        <f t="shared" si="354"/>
        <v>#NUM!</v>
      </c>
      <c r="BK360" s="63" t="e">
        <f t="shared" si="307"/>
        <v>#NUM!</v>
      </c>
      <c r="BL360" s="51">
        <f t="shared" si="355"/>
        <v>-18.625735387401086</v>
      </c>
      <c r="BM360" s="63">
        <f t="shared" si="356"/>
        <v>11.327131755246091</v>
      </c>
    </row>
    <row r="361" spans="14:65" x14ac:dyDescent="0.3">
      <c r="N361" s="11">
        <v>43</v>
      </c>
      <c r="O361" s="52">
        <f t="shared" si="308"/>
        <v>26915.348039269167</v>
      </c>
      <c r="P361" s="50" t="str">
        <f t="shared" si="309"/>
        <v>23.3035714285714</v>
      </c>
      <c r="Q361" s="18" t="str">
        <f t="shared" si="310"/>
        <v>1+90.5968496453361i</v>
      </c>
      <c r="R361" s="18">
        <f t="shared" si="321"/>
        <v>90.602368432947927</v>
      </c>
      <c r="S361" s="18">
        <f t="shared" si="322"/>
        <v>1.5597588636264343</v>
      </c>
      <c r="T361" s="18" t="str">
        <f t="shared" si="311"/>
        <v>1+0.169114119337961i</v>
      </c>
      <c r="U361" s="18">
        <f t="shared" si="323"/>
        <v>1.0141989870629204</v>
      </c>
      <c r="V361" s="18">
        <f t="shared" si="324"/>
        <v>0.16752903349309933</v>
      </c>
      <c r="W361" s="32" t="str">
        <f t="shared" si="312"/>
        <v>1-0.413390069492794i</v>
      </c>
      <c r="X361" s="18">
        <f t="shared" si="325"/>
        <v>1.0820773306724696</v>
      </c>
      <c r="Y361" s="18">
        <f t="shared" si="326"/>
        <v>-0.39199598196786645</v>
      </c>
      <c r="Z361" s="32" t="str">
        <f t="shared" si="313"/>
        <v>0.9971022561597+0.202890436822735i</v>
      </c>
      <c r="AA361" s="18">
        <f t="shared" si="327"/>
        <v>1.0175349815081958</v>
      </c>
      <c r="AB361" s="18">
        <f t="shared" si="328"/>
        <v>0.20073953054228635</v>
      </c>
      <c r="AC361" s="68" t="str">
        <f t="shared" si="329"/>
        <v>-0.111636110627203-0.253951149611528i</v>
      </c>
      <c r="AD361" s="66">
        <f t="shared" si="330"/>
        <v>-11.137698869145218</v>
      </c>
      <c r="AE361" s="63">
        <f t="shared" si="331"/>
        <v>-113.73013661321113</v>
      </c>
      <c r="AF361" s="51" t="e">
        <f t="shared" si="332"/>
        <v>#NUM!</v>
      </c>
      <c r="AG361" s="51" t="str">
        <f t="shared" si="314"/>
        <v>1-126.835589503471i</v>
      </c>
      <c r="AH361" s="51">
        <f t="shared" si="333"/>
        <v>126.83953155342779</v>
      </c>
      <c r="AI361" s="51">
        <f t="shared" si="334"/>
        <v>-1.5629122677199454</v>
      </c>
      <c r="AJ361" s="51" t="str">
        <f t="shared" si="315"/>
        <v>1+0.169114119337961i</v>
      </c>
      <c r="AK361" s="51">
        <f t="shared" si="335"/>
        <v>1.0141989870629204</v>
      </c>
      <c r="AL361" s="51">
        <f t="shared" si="336"/>
        <v>0.16752903349309933</v>
      </c>
      <c r="AM361" s="51" t="e">
        <f t="shared" si="316"/>
        <v>#NUM!</v>
      </c>
      <c r="AN361" s="51" t="e">
        <f t="shared" si="337"/>
        <v>#NUM!</v>
      </c>
      <c r="AO361" s="51" t="e">
        <f t="shared" si="338"/>
        <v>#NUM!</v>
      </c>
      <c r="AP361" s="60" t="e">
        <f t="shared" si="339"/>
        <v>#NUM!</v>
      </c>
      <c r="AQ361" s="51" t="e">
        <f t="shared" si="340"/>
        <v>#NUM!</v>
      </c>
      <c r="AR361" s="63" t="e">
        <f t="shared" si="341"/>
        <v>#NUM!</v>
      </c>
      <c r="AS361" s="32" t="str">
        <f t="shared" si="317"/>
        <v>-0.000170731707317073</v>
      </c>
      <c r="AT361" s="32" t="str">
        <f t="shared" si="318"/>
        <v>0.00642633653484251i</v>
      </c>
      <c r="AU361" s="32">
        <f t="shared" si="342"/>
        <v>6.4263365348425101E-3</v>
      </c>
      <c r="AV361" s="32">
        <f t="shared" si="343"/>
        <v>1.5707963267948966</v>
      </c>
      <c r="AW361" s="32" t="str">
        <f t="shared" si="319"/>
        <v>1+1.36822223287533i</v>
      </c>
      <c r="AX361" s="32">
        <f t="shared" si="344"/>
        <v>1.6947070775017004</v>
      </c>
      <c r="AY361" s="32">
        <f t="shared" si="345"/>
        <v>0.93964771971852357</v>
      </c>
      <c r="AZ361" s="32" t="str">
        <f t="shared" si="320"/>
        <v>1+25.9962224246314i</v>
      </c>
      <c r="BA361" s="32">
        <f t="shared" si="346"/>
        <v>26.015448878520406</v>
      </c>
      <c r="BB361" s="32">
        <f t="shared" si="347"/>
        <v>1.5323481560890906</v>
      </c>
      <c r="BC361" s="60" t="str">
        <f t="shared" si="348"/>
        <v>-0.227819335229419+0.338274981318022i</v>
      </c>
      <c r="BD361" s="51">
        <f t="shared" si="349"/>
        <v>-7.7902520222208835</v>
      </c>
      <c r="BE361" s="63">
        <f t="shared" si="350"/>
        <v>123.95923351959559</v>
      </c>
      <c r="BF361" s="60" t="str">
        <f t="shared" si="351"/>
        <v>0.111338184901217+0.0200912788484113i</v>
      </c>
      <c r="BG361" s="66">
        <f t="shared" si="352"/>
        <v>-18.927950891366113</v>
      </c>
      <c r="BH361" s="63">
        <f t="shared" si="353"/>
        <v>10.229096906384449</v>
      </c>
      <c r="BI361" s="60" t="e">
        <f t="shared" si="306"/>
        <v>#NUM!</v>
      </c>
      <c r="BJ361" s="66" t="e">
        <f t="shared" si="354"/>
        <v>#NUM!</v>
      </c>
      <c r="BK361" s="63" t="e">
        <f t="shared" si="307"/>
        <v>#NUM!</v>
      </c>
      <c r="BL361" s="51">
        <f t="shared" si="355"/>
        <v>-18.927950891366113</v>
      </c>
      <c r="BM361" s="63">
        <f t="shared" si="356"/>
        <v>10.229096906384449</v>
      </c>
    </row>
    <row r="362" spans="14:65" x14ac:dyDescent="0.3">
      <c r="N362" s="11">
        <v>44</v>
      </c>
      <c r="O362" s="52">
        <f t="shared" si="308"/>
        <v>27542.287033381719</v>
      </c>
      <c r="P362" s="50" t="str">
        <f t="shared" si="309"/>
        <v>23.3035714285714</v>
      </c>
      <c r="Q362" s="18" t="str">
        <f t="shared" si="310"/>
        <v>1+92.7071213647857i</v>
      </c>
      <c r="R362" s="18">
        <f t="shared" si="321"/>
        <v>92.712514536847209</v>
      </c>
      <c r="S362" s="18">
        <f t="shared" si="322"/>
        <v>1.56001008724835</v>
      </c>
      <c r="T362" s="18" t="str">
        <f t="shared" si="311"/>
        <v>1+0.173053293214267i</v>
      </c>
      <c r="U362" s="18">
        <f t="shared" si="323"/>
        <v>1.014863262854806</v>
      </c>
      <c r="V362" s="18">
        <f t="shared" si="324"/>
        <v>0.17135618369567321</v>
      </c>
      <c r="W362" s="32" t="str">
        <f t="shared" si="312"/>
        <v>1-0.423019161190431i</v>
      </c>
      <c r="X362" s="18">
        <f t="shared" si="325"/>
        <v>1.0857924344616956</v>
      </c>
      <c r="Y362" s="18">
        <f t="shared" si="326"/>
        <v>-0.40019166350247398</v>
      </c>
      <c r="Z362" s="32" t="str">
        <f t="shared" si="313"/>
        <v>0.996965689699883+0.207616362201486i</v>
      </c>
      <c r="AA362" s="18">
        <f t="shared" si="327"/>
        <v>1.0183541330463297</v>
      </c>
      <c r="AB362" s="18">
        <f t="shared" si="328"/>
        <v>0.2053138456451514</v>
      </c>
      <c r="AC362" s="68" t="str">
        <f t="shared" si="329"/>
        <v>-0.111737940895326-0.247969074212769i</v>
      </c>
      <c r="AD362" s="66">
        <f t="shared" si="330"/>
        <v>-11.309207255956935</v>
      </c>
      <c r="AE362" s="63">
        <f t="shared" si="331"/>
        <v>-114.25691802401423</v>
      </c>
      <c r="AF362" s="51" t="e">
        <f t="shared" si="332"/>
        <v>#NUM!</v>
      </c>
      <c r="AG362" s="51" t="str">
        <f t="shared" si="314"/>
        <v>1-129.789969910701i</v>
      </c>
      <c r="AH362" s="51">
        <f t="shared" si="333"/>
        <v>129.7938222313399</v>
      </c>
      <c r="AI362" s="51">
        <f t="shared" si="334"/>
        <v>-1.5630917236299546</v>
      </c>
      <c r="AJ362" s="51" t="str">
        <f t="shared" si="315"/>
        <v>1+0.173053293214267i</v>
      </c>
      <c r="AK362" s="51">
        <f t="shared" si="335"/>
        <v>1.014863262854806</v>
      </c>
      <c r="AL362" s="51">
        <f t="shared" si="336"/>
        <v>0.17135618369567321</v>
      </c>
      <c r="AM362" s="51" t="e">
        <f t="shared" si="316"/>
        <v>#NUM!</v>
      </c>
      <c r="AN362" s="51" t="e">
        <f t="shared" si="337"/>
        <v>#NUM!</v>
      </c>
      <c r="AO362" s="51" t="e">
        <f t="shared" si="338"/>
        <v>#NUM!</v>
      </c>
      <c r="AP362" s="60" t="e">
        <f t="shared" si="339"/>
        <v>#NUM!</v>
      </c>
      <c r="AQ362" s="51" t="e">
        <f t="shared" si="340"/>
        <v>#NUM!</v>
      </c>
      <c r="AR362" s="63" t="e">
        <f t="shared" si="341"/>
        <v>#NUM!</v>
      </c>
      <c r="AS362" s="32" t="str">
        <f t="shared" si="317"/>
        <v>-0.000170731707317073</v>
      </c>
      <c r="AT362" s="32" t="str">
        <f t="shared" si="318"/>
        <v>0.00657602514214214i</v>
      </c>
      <c r="AU362" s="32">
        <f t="shared" si="342"/>
        <v>6.5760251421421402E-3</v>
      </c>
      <c r="AV362" s="32">
        <f t="shared" si="343"/>
        <v>1.5707963267948966</v>
      </c>
      <c r="AW362" s="32" t="str">
        <f t="shared" si="319"/>
        <v>1+1.40009222278406i</v>
      </c>
      <c r="AX362" s="32">
        <f t="shared" si="344"/>
        <v>1.7205400990097295</v>
      </c>
      <c r="AY362" s="32">
        <f t="shared" si="345"/>
        <v>0.95057799579908553</v>
      </c>
      <c r="AZ362" s="32" t="str">
        <f t="shared" si="320"/>
        <v>1+26.6017522328971i</v>
      </c>
      <c r="BA362" s="32">
        <f t="shared" si="346"/>
        <v>26.620541351754021</v>
      </c>
      <c r="BB362" s="32">
        <f t="shared" si="347"/>
        <v>1.5332225102387291</v>
      </c>
      <c r="BC362" s="60" t="str">
        <f t="shared" si="348"/>
        <v>-0.221029514165325+0.335424455394128i</v>
      </c>
      <c r="BD362" s="51">
        <f t="shared" si="349"/>
        <v>-7.921943949311439</v>
      </c>
      <c r="BE362" s="63">
        <f t="shared" si="350"/>
        <v>123.38307163384073</v>
      </c>
      <c r="BF362" s="60" t="str">
        <f t="shared" si="351"/>
        <v>0.107872274462332+0.0173288460295978i</v>
      </c>
      <c r="BG362" s="66">
        <f t="shared" si="352"/>
        <v>-19.231151205268365</v>
      </c>
      <c r="BH362" s="63">
        <f t="shared" si="353"/>
        <v>9.1261536098265168</v>
      </c>
      <c r="BI362" s="60" t="e">
        <f t="shared" si="306"/>
        <v>#NUM!</v>
      </c>
      <c r="BJ362" s="66" t="e">
        <f t="shared" si="354"/>
        <v>#NUM!</v>
      </c>
      <c r="BK362" s="63" t="e">
        <f t="shared" si="307"/>
        <v>#NUM!</v>
      </c>
      <c r="BL362" s="51">
        <f t="shared" si="355"/>
        <v>-19.231151205268365</v>
      </c>
      <c r="BM362" s="63">
        <f t="shared" si="356"/>
        <v>9.1261536098265168</v>
      </c>
    </row>
    <row r="363" spans="14:65" x14ac:dyDescent="0.3">
      <c r="N363" s="11">
        <v>45</v>
      </c>
      <c r="O363" s="52">
        <f t="shared" si="308"/>
        <v>28183.829312644593</v>
      </c>
      <c r="P363" s="50" t="str">
        <f t="shared" si="309"/>
        <v>23.3035714285714</v>
      </c>
      <c r="Q363" s="18" t="str">
        <f t="shared" si="310"/>
        <v>1+94.8665476271066i</v>
      </c>
      <c r="R363" s="18">
        <f t="shared" si="321"/>
        <v>94.87181804248344</v>
      </c>
      <c r="S363" s="18">
        <f t="shared" si="322"/>
        <v>1.5602555936381355</v>
      </c>
      <c r="T363" s="18" t="str">
        <f t="shared" si="311"/>
        <v>1+0.177084222237266i</v>
      </c>
      <c r="U363" s="18">
        <f t="shared" si="323"/>
        <v>1.0155583792994756</v>
      </c>
      <c r="V363" s="18">
        <f t="shared" si="324"/>
        <v>0.1752672378797136</v>
      </c>
      <c r="W363" s="32" t="str">
        <f t="shared" si="312"/>
        <v>1-0.43287254324665i</v>
      </c>
      <c r="X363" s="18">
        <f t="shared" si="325"/>
        <v>1.0896690500775099</v>
      </c>
      <c r="Y363" s="18">
        <f t="shared" si="326"/>
        <v>-0.40851982073255666</v>
      </c>
      <c r="Z363" s="32" t="str">
        <f t="shared" si="313"/>
        <v>0.996822687061103+0.212452368523604i</v>
      </c>
      <c r="AA363" s="18">
        <f t="shared" si="327"/>
        <v>1.0192112039862038</v>
      </c>
      <c r="AB363" s="18">
        <f t="shared" si="328"/>
        <v>0.20998766380650422</v>
      </c>
      <c r="AC363" s="68" t="str">
        <f t="shared" si="329"/>
        <v>-0.111832829646742-0.242118795338115i</v>
      </c>
      <c r="AD363" s="66">
        <f t="shared" si="330"/>
        <v>-11.479588358819617</v>
      </c>
      <c r="AE363" s="63">
        <f t="shared" si="331"/>
        <v>-114.79185592106229</v>
      </c>
      <c r="AF363" s="51" t="e">
        <f t="shared" si="332"/>
        <v>#NUM!</v>
      </c>
      <c r="AG363" s="51" t="str">
        <f t="shared" si="314"/>
        <v>1-132.81316667795i</v>
      </c>
      <c r="AH363" s="51">
        <f t="shared" si="333"/>
        <v>132.81693131157985</v>
      </c>
      <c r="AI363" s="51">
        <f t="shared" si="334"/>
        <v>-1.5632670951042609</v>
      </c>
      <c r="AJ363" s="51" t="str">
        <f t="shared" si="315"/>
        <v>1+0.177084222237266i</v>
      </c>
      <c r="AK363" s="51">
        <f t="shared" si="335"/>
        <v>1.0155583792994756</v>
      </c>
      <c r="AL363" s="51">
        <f t="shared" si="336"/>
        <v>0.1752672378797136</v>
      </c>
      <c r="AM363" s="51" t="e">
        <f t="shared" si="316"/>
        <v>#NUM!</v>
      </c>
      <c r="AN363" s="51" t="e">
        <f t="shared" si="337"/>
        <v>#NUM!</v>
      </c>
      <c r="AO363" s="51" t="e">
        <f t="shared" si="338"/>
        <v>#NUM!</v>
      </c>
      <c r="AP363" s="60" t="e">
        <f t="shared" si="339"/>
        <v>#NUM!</v>
      </c>
      <c r="AQ363" s="51" t="e">
        <f t="shared" si="340"/>
        <v>#NUM!</v>
      </c>
      <c r="AR363" s="63" t="e">
        <f t="shared" si="341"/>
        <v>#NUM!</v>
      </c>
      <c r="AS363" s="32" t="str">
        <f t="shared" si="317"/>
        <v>-0.000170731707317073</v>
      </c>
      <c r="AT363" s="32" t="str">
        <f t="shared" si="318"/>
        <v>0.0067292004450161i</v>
      </c>
      <c r="AU363" s="32">
        <f t="shared" si="342"/>
        <v>6.7292004450160998E-3</v>
      </c>
      <c r="AV363" s="32">
        <f t="shared" si="343"/>
        <v>1.5707963267948966</v>
      </c>
      <c r="AW363" s="32" t="str">
        <f t="shared" si="319"/>
        <v>1+1.43270456012171i</v>
      </c>
      <c r="AX363" s="32">
        <f t="shared" si="344"/>
        <v>1.7471812603715571</v>
      </c>
      <c r="AY363" s="32">
        <f t="shared" si="345"/>
        <v>0.96142694519943184</v>
      </c>
      <c r="AZ363" s="32" t="str">
        <f t="shared" si="320"/>
        <v>1+27.2213866423125i</v>
      </c>
      <c r="BA363" s="32">
        <f t="shared" si="346"/>
        <v>27.239748360259668</v>
      </c>
      <c r="BB363" s="32">
        <f t="shared" si="347"/>
        <v>1.5340770172008886</v>
      </c>
      <c r="BC363" s="60" t="str">
        <f t="shared" si="348"/>
        <v>-0.214340352539497+0.332458167728775i</v>
      </c>
      <c r="BD363" s="51">
        <f t="shared" si="349"/>
        <v>-8.0556830676453401</v>
      </c>
      <c r="BE363" s="63">
        <f t="shared" si="350"/>
        <v>122.8104322635461</v>
      </c>
      <c r="BF363" s="60" t="str">
        <f t="shared" si="351"/>
        <v>0.10446465920278+0.0147160903129298i</v>
      </c>
      <c r="BG363" s="66">
        <f t="shared" si="352"/>
        <v>-19.53527142646497</v>
      </c>
      <c r="BH363" s="63">
        <f t="shared" si="353"/>
        <v>8.0185763424838239</v>
      </c>
      <c r="BI363" s="60" t="e">
        <f t="shared" si="306"/>
        <v>#NUM!</v>
      </c>
      <c r="BJ363" s="66" t="e">
        <f t="shared" si="354"/>
        <v>#NUM!</v>
      </c>
      <c r="BK363" s="63" t="e">
        <f t="shared" si="307"/>
        <v>#NUM!</v>
      </c>
      <c r="BL363" s="51">
        <f t="shared" si="355"/>
        <v>-19.53527142646497</v>
      </c>
      <c r="BM363" s="63">
        <f t="shared" si="356"/>
        <v>8.0185763424838239</v>
      </c>
    </row>
    <row r="364" spans="14:65" x14ac:dyDescent="0.3">
      <c r="N364" s="11">
        <v>46</v>
      </c>
      <c r="O364" s="52">
        <f t="shared" si="308"/>
        <v>28840.315031266062</v>
      </c>
      <c r="P364" s="50" t="str">
        <f t="shared" si="309"/>
        <v>23.3035714285714</v>
      </c>
      <c r="Q364" s="18" t="str">
        <f t="shared" si="310"/>
        <v>1+97.0762733886861i</v>
      </c>
      <c r="R364" s="18">
        <f t="shared" si="321"/>
        <v>97.081423841201101</v>
      </c>
      <c r="S364" s="18">
        <f t="shared" si="322"/>
        <v>1.5604955128480802</v>
      </c>
      <c r="T364" s="18" t="str">
        <f t="shared" si="311"/>
        <v>1+0.181209043658881i</v>
      </c>
      <c r="U364" s="18">
        <f t="shared" si="323"/>
        <v>1.0162857459906471</v>
      </c>
      <c r="V364" s="18">
        <f t="shared" si="324"/>
        <v>0.17926379090092892</v>
      </c>
      <c r="W364" s="32" t="str">
        <f t="shared" si="312"/>
        <v>1-0.442955440055043i</v>
      </c>
      <c r="X364" s="18">
        <f t="shared" si="325"/>
        <v>1.0937136379667014</v>
      </c>
      <c r="Y364" s="18">
        <f t="shared" si="326"/>
        <v>-0.41698024729777849</v>
      </c>
      <c r="Z364" s="32" t="str">
        <f t="shared" si="313"/>
        <v>0.996672944915589+0.217401019903651i</v>
      </c>
      <c r="AA364" s="18">
        <f t="shared" si="327"/>
        <v>1.0201079171253697</v>
      </c>
      <c r="AB364" s="18">
        <f t="shared" si="328"/>
        <v>0.21476282398111857</v>
      </c>
      <c r="AC364" s="68" t="str">
        <f t="shared" si="329"/>
        <v>-0.111920989805527-0.236397248842606i</v>
      </c>
      <c r="AD364" s="66">
        <f t="shared" si="330"/>
        <v>-11.648806176800594</v>
      </c>
      <c r="AE364" s="63">
        <f t="shared" si="331"/>
        <v>-115.33495991807219</v>
      </c>
      <c r="AF364" s="51" t="e">
        <f t="shared" si="332"/>
        <v>#NUM!</v>
      </c>
      <c r="AG364" s="51" t="str">
        <f t="shared" si="314"/>
        <v>1-135.906782744161i</v>
      </c>
      <c r="AH364" s="51">
        <f t="shared" si="333"/>
        <v>135.91046168661404</v>
      </c>
      <c r="AI364" s="51">
        <f t="shared" si="334"/>
        <v>-1.563438475083968</v>
      </c>
      <c r="AJ364" s="51" t="str">
        <f t="shared" si="315"/>
        <v>1+0.181209043658881i</v>
      </c>
      <c r="AK364" s="51">
        <f t="shared" si="335"/>
        <v>1.0162857459906471</v>
      </c>
      <c r="AL364" s="51">
        <f t="shared" si="336"/>
        <v>0.17926379090092892</v>
      </c>
      <c r="AM364" s="51" t="e">
        <f t="shared" si="316"/>
        <v>#NUM!</v>
      </c>
      <c r="AN364" s="51" t="e">
        <f t="shared" si="337"/>
        <v>#NUM!</v>
      </c>
      <c r="AO364" s="51" t="e">
        <f t="shared" si="338"/>
        <v>#NUM!</v>
      </c>
      <c r="AP364" s="60" t="e">
        <f t="shared" si="339"/>
        <v>#NUM!</v>
      </c>
      <c r="AQ364" s="51" t="e">
        <f t="shared" si="340"/>
        <v>#NUM!</v>
      </c>
      <c r="AR364" s="63" t="e">
        <f t="shared" si="341"/>
        <v>#NUM!</v>
      </c>
      <c r="AS364" s="32" t="str">
        <f t="shared" si="317"/>
        <v>-0.000170731707317073</v>
      </c>
      <c r="AT364" s="32" t="str">
        <f t="shared" si="318"/>
        <v>0.0068859436590375i</v>
      </c>
      <c r="AU364" s="32">
        <f t="shared" si="342"/>
        <v>6.8859436590375002E-3</v>
      </c>
      <c r="AV364" s="32">
        <f t="shared" si="343"/>
        <v>1.5707963267948966</v>
      </c>
      <c r="AW364" s="32" t="str">
        <f t="shared" si="319"/>
        <v>1+1.46607653638122i</v>
      </c>
      <c r="AX364" s="32">
        <f t="shared" si="344"/>
        <v>1.7746493767861737</v>
      </c>
      <c r="AY364" s="32">
        <f t="shared" si="345"/>
        <v>0.97219010497566227</v>
      </c>
      <c r="AZ364" s="32" t="str">
        <f t="shared" si="320"/>
        <v>1+27.8554541912432i</v>
      </c>
      <c r="BA364" s="32">
        <f t="shared" si="346"/>
        <v>27.873398217663528</v>
      </c>
      <c r="BB364" s="32">
        <f t="shared" si="347"/>
        <v>1.5349121250520557</v>
      </c>
      <c r="BC364" s="60" t="str">
        <f t="shared" si="348"/>
        <v>-0.207756559576638+0.32938125257058i</v>
      </c>
      <c r="BD364" s="51">
        <f t="shared" si="349"/>
        <v>-8.1914384625135952</v>
      </c>
      <c r="BE364" s="63">
        <f t="shared" si="350"/>
        <v>122.24159678945342</v>
      </c>
      <c r="BF364" s="60" t="str">
        <f t="shared" si="351"/>
        <v>0.101117141714425+0.0122484033018386i</v>
      </c>
      <c r="BG364" s="66">
        <f t="shared" si="352"/>
        <v>-19.840244639314182</v>
      </c>
      <c r="BH364" s="63">
        <f t="shared" si="353"/>
        <v>6.9066368713812434</v>
      </c>
      <c r="BI364" s="60" t="e">
        <f t="shared" si="306"/>
        <v>#NUM!</v>
      </c>
      <c r="BJ364" s="66" t="e">
        <f t="shared" si="354"/>
        <v>#NUM!</v>
      </c>
      <c r="BK364" s="63" t="e">
        <f t="shared" si="307"/>
        <v>#NUM!</v>
      </c>
      <c r="BL364" s="51">
        <f t="shared" si="355"/>
        <v>-19.840244639314182</v>
      </c>
      <c r="BM364" s="63">
        <f t="shared" si="356"/>
        <v>6.9066368713812434</v>
      </c>
    </row>
    <row r="365" spans="14:65" x14ac:dyDescent="0.3">
      <c r="N365" s="11">
        <v>47</v>
      </c>
      <c r="O365" s="52">
        <f t="shared" si="308"/>
        <v>29512.092266663854</v>
      </c>
      <c r="P365" s="50" t="str">
        <f t="shared" si="309"/>
        <v>23.3035714285714</v>
      </c>
      <c r="Q365" s="18" t="str">
        <f t="shared" si="310"/>
        <v>1+99.3374702753736i</v>
      </c>
      <c r="R365" s="18">
        <f t="shared" si="321"/>
        <v>99.342503495285101</v>
      </c>
      <c r="S365" s="18">
        <f t="shared" si="322"/>
        <v>1.5607299719759813</v>
      </c>
      <c r="T365" s="18" t="str">
        <f t="shared" si="311"/>
        <v>1+0.185429944514031i</v>
      </c>
      <c r="U365" s="18">
        <f t="shared" si="323"/>
        <v>1.0170468348716672</v>
      </c>
      <c r="V365" s="18">
        <f t="shared" si="324"/>
        <v>0.18334745085456702</v>
      </c>
      <c r="W365" s="32" t="str">
        <f t="shared" si="312"/>
        <v>1-0.453273197700965i</v>
      </c>
      <c r="X365" s="18">
        <f t="shared" si="325"/>
        <v>1.0979328721529646</v>
      </c>
      <c r="Y365" s="18">
        <f t="shared" si="326"/>
        <v>-0.42557258328116543</v>
      </c>
      <c r="Z365" s="32" t="str">
        <f t="shared" si="313"/>
        <v>0.996516145640176+0.222464940182096i</v>
      </c>
      <c r="AA365" s="18">
        <f t="shared" si="327"/>
        <v>1.021046070523645</v>
      </c>
      <c r="AB365" s="18">
        <f t="shared" si="328"/>
        <v>0.21964117664589097</v>
      </c>
      <c r="AC365" s="68" t="str">
        <f t="shared" si="329"/>
        <v>-0.112002621092052-0.230801440114987i</v>
      </c>
      <c r="AD365" s="66">
        <f t="shared" si="330"/>
        <v>-11.816824265278678</v>
      </c>
      <c r="AE365" s="63">
        <f t="shared" si="331"/>
        <v>-115.88623056293342</v>
      </c>
      <c r="AF365" s="51" t="e">
        <f t="shared" si="332"/>
        <v>#NUM!</v>
      </c>
      <c r="AG365" s="51" t="str">
        <f t="shared" si="314"/>
        <v>1-139.072458385524i</v>
      </c>
      <c r="AH365" s="51">
        <f t="shared" si="333"/>
        <v>139.07605358721287</v>
      </c>
      <c r="AI365" s="51">
        <f t="shared" si="334"/>
        <v>-1.5636059543967176</v>
      </c>
      <c r="AJ365" s="51" t="str">
        <f t="shared" si="315"/>
        <v>1+0.185429944514031i</v>
      </c>
      <c r="AK365" s="51">
        <f t="shared" si="335"/>
        <v>1.0170468348716672</v>
      </c>
      <c r="AL365" s="51">
        <f t="shared" si="336"/>
        <v>0.18334745085456702</v>
      </c>
      <c r="AM365" s="51" t="e">
        <f t="shared" si="316"/>
        <v>#NUM!</v>
      </c>
      <c r="AN365" s="51" t="e">
        <f t="shared" si="337"/>
        <v>#NUM!</v>
      </c>
      <c r="AO365" s="51" t="e">
        <f t="shared" si="338"/>
        <v>#NUM!</v>
      </c>
      <c r="AP365" s="60" t="e">
        <f t="shared" si="339"/>
        <v>#NUM!</v>
      </c>
      <c r="AQ365" s="51" t="e">
        <f t="shared" si="340"/>
        <v>#NUM!</v>
      </c>
      <c r="AR365" s="63" t="e">
        <f t="shared" si="341"/>
        <v>#NUM!</v>
      </c>
      <c r="AS365" s="32" t="str">
        <f t="shared" si="317"/>
        <v>-0.000170731707317073</v>
      </c>
      <c r="AT365" s="32" t="str">
        <f t="shared" si="318"/>
        <v>0.00704633789153316i</v>
      </c>
      <c r="AU365" s="32">
        <f t="shared" si="342"/>
        <v>7.0463378915331604E-3</v>
      </c>
      <c r="AV365" s="32">
        <f t="shared" si="343"/>
        <v>1.5707963267948966</v>
      </c>
      <c r="AW365" s="32" t="str">
        <f t="shared" si="319"/>
        <v>1+1.50022584582615i</v>
      </c>
      <c r="AX365" s="32">
        <f t="shared" si="344"/>
        <v>1.8029635571704679</v>
      </c>
      <c r="AY365" s="32">
        <f t="shared" si="345"/>
        <v>0.98286320702789942</v>
      </c>
      <c r="AZ365" s="32" t="str">
        <f t="shared" si="320"/>
        <v>1+28.5042910706969i</v>
      </c>
      <c r="BA365" s="32">
        <f t="shared" si="346"/>
        <v>28.521826895257096</v>
      </c>
      <c r="BB365" s="32">
        <f t="shared" si="347"/>
        <v>1.5357282719155392</v>
      </c>
      <c r="BC365" s="60" t="str">
        <f t="shared" si="348"/>
        <v>-0.201282477600079+0.326199024803934i</v>
      </c>
      <c r="BD365" s="51">
        <f t="shared" si="349"/>
        <v>-8.3291778095736397</v>
      </c>
      <c r="BE365" s="63">
        <f t="shared" si="350"/>
        <v>121.67683485828822</v>
      </c>
      <c r="BF365" s="60" t="str">
        <f t="shared" si="351"/>
        <v>0.0978313697599634+0.00992113992429895i</v>
      </c>
      <c r="BG365" s="66">
        <f t="shared" si="352"/>
        <v>-20.146002074852323</v>
      </c>
      <c r="BH365" s="63">
        <f t="shared" si="353"/>
        <v>5.7906042953547914</v>
      </c>
      <c r="BI365" s="60" t="e">
        <f t="shared" si="306"/>
        <v>#NUM!</v>
      </c>
      <c r="BJ365" s="66" t="e">
        <f t="shared" si="354"/>
        <v>#NUM!</v>
      </c>
      <c r="BK365" s="63" t="e">
        <f t="shared" si="307"/>
        <v>#NUM!</v>
      </c>
      <c r="BL365" s="51">
        <f t="shared" si="355"/>
        <v>-20.146002074852323</v>
      </c>
      <c r="BM365" s="63">
        <f t="shared" si="356"/>
        <v>5.7906042953547914</v>
      </c>
    </row>
    <row r="366" spans="14:65" x14ac:dyDescent="0.3">
      <c r="N366" s="11">
        <v>48</v>
      </c>
      <c r="O366" s="52">
        <f t="shared" si="308"/>
        <v>30199.517204020212</v>
      </c>
      <c r="P366" s="50" t="str">
        <f t="shared" si="309"/>
        <v>23.3035714285714</v>
      </c>
      <c r="Q366" s="18" t="str">
        <f t="shared" si="310"/>
        <v>1+101.651337203688i</v>
      </c>
      <c r="R366" s="18">
        <f t="shared" si="321"/>
        <v>101.65625585913483</v>
      </c>
      <c r="S366" s="18">
        <f t="shared" si="322"/>
        <v>1.5609590952320047</v>
      </c>
      <c r="T366" s="18" t="str">
        <f t="shared" si="311"/>
        <v>1+0.189749162780217i</v>
      </c>
      <c r="U366" s="18">
        <f t="shared" si="323"/>
        <v>1.0178431828016501</v>
      </c>
      <c r="V366" s="18">
        <f t="shared" si="324"/>
        <v>0.18751983788165191</v>
      </c>
      <c r="W366" s="32" t="str">
        <f t="shared" si="312"/>
        <v>1-0.463831286796086i</v>
      </c>
      <c r="X366" s="18">
        <f t="shared" si="325"/>
        <v>1.1023336439621685</v>
      </c>
      <c r="Y366" s="18">
        <f t="shared" si="326"/>
        <v>-0.43429630855558699</v>
      </c>
      <c r="Z366" s="32" t="str">
        <f t="shared" si="313"/>
        <v>0.996351956642576+0.227646814316496i</v>
      </c>
      <c r="AA366" s="18">
        <f t="shared" si="327"/>
        <v>1.0220275405163692</v>
      </c>
      <c r="AB366" s="18">
        <f t="shared" si="328"/>
        <v>0.22462458216199113</v>
      </c>
      <c r="AC366" s="68" t="str">
        <f t="shared" si="329"/>
        <v>-0.112077910534611-0.225328442627922i</v>
      </c>
      <c r="AD366" s="66">
        <f t="shared" si="330"/>
        <v>-11.983605787998311</v>
      </c>
      <c r="AE366" s="63">
        <f t="shared" si="331"/>
        <v>-116.44565893487551</v>
      </c>
      <c r="AF366" s="51" t="e">
        <f t="shared" si="332"/>
        <v>#NUM!</v>
      </c>
      <c r="AG366" s="51" t="str">
        <f t="shared" si="314"/>
        <v>1-142.311872085163i</v>
      </c>
      <c r="AH366" s="51">
        <f t="shared" si="333"/>
        <v>142.31538545211404</v>
      </c>
      <c r="AI366" s="51">
        <f t="shared" si="334"/>
        <v>-1.5637696218046546</v>
      </c>
      <c r="AJ366" s="51" t="str">
        <f t="shared" si="315"/>
        <v>1+0.189749162780217i</v>
      </c>
      <c r="AK366" s="51">
        <f t="shared" si="335"/>
        <v>1.0178431828016501</v>
      </c>
      <c r="AL366" s="51">
        <f t="shared" si="336"/>
        <v>0.18751983788165191</v>
      </c>
      <c r="AM366" s="51" t="e">
        <f t="shared" si="316"/>
        <v>#NUM!</v>
      </c>
      <c r="AN366" s="51" t="e">
        <f t="shared" si="337"/>
        <v>#NUM!</v>
      </c>
      <c r="AO366" s="51" t="e">
        <f t="shared" si="338"/>
        <v>#NUM!</v>
      </c>
      <c r="AP366" s="60" t="e">
        <f t="shared" si="339"/>
        <v>#NUM!</v>
      </c>
      <c r="AQ366" s="51" t="e">
        <f t="shared" si="340"/>
        <v>#NUM!</v>
      </c>
      <c r="AR366" s="63" t="e">
        <f t="shared" si="341"/>
        <v>#NUM!</v>
      </c>
      <c r="AS366" s="32" t="str">
        <f t="shared" si="317"/>
        <v>-0.000170731707317073</v>
      </c>
      <c r="AT366" s="32" t="str">
        <f t="shared" si="318"/>
        <v>0.00721046818564824i</v>
      </c>
      <c r="AU366" s="32">
        <f t="shared" si="342"/>
        <v>7.2104681856482401E-3</v>
      </c>
      <c r="AV366" s="32">
        <f t="shared" si="343"/>
        <v>1.5707963267948966</v>
      </c>
      <c r="AW366" s="32" t="str">
        <f t="shared" si="319"/>
        <v>1+1.53517059487236i</v>
      </c>
      <c r="AX366" s="32">
        <f t="shared" si="344"/>
        <v>1.832143213660099</v>
      </c>
      <c r="AY366" s="32">
        <f t="shared" si="345"/>
        <v>0.99344218370919968</v>
      </c>
      <c r="AZ366" s="32" t="str">
        <f t="shared" si="320"/>
        <v>1+29.168241302575i</v>
      </c>
      <c r="BA366" s="32">
        <f t="shared" si="346"/>
        <v>29.185378200140605</v>
      </c>
      <c r="BB366" s="32">
        <f t="shared" si="347"/>
        <v>1.5365258861716689</v>
      </c>
      <c r="BC366" s="60" t="str">
        <f t="shared" si="348"/>
        <v>-0.194922076859144+0.322916951569346i</v>
      </c>
      <c r="BD366" s="51">
        <f t="shared" si="349"/>
        <v>-8.4688674890142739</v>
      </c>
      <c r="BE366" s="63">
        <f t="shared" si="350"/>
        <v>121.11640407343795</v>
      </c>
      <c r="BF366" s="60" t="str">
        <f t="shared" si="351"/>
        <v>0.0946088328867166+0.00772963080437256i</v>
      </c>
      <c r="BG366" s="66">
        <f t="shared" si="352"/>
        <v>-20.452473277012579</v>
      </c>
      <c r="BH366" s="63">
        <f t="shared" si="353"/>
        <v>4.6707451385624292</v>
      </c>
      <c r="BI366" s="60" t="e">
        <f t="shared" si="306"/>
        <v>#NUM!</v>
      </c>
      <c r="BJ366" s="66" t="e">
        <f t="shared" si="354"/>
        <v>#NUM!</v>
      </c>
      <c r="BK366" s="63" t="e">
        <f t="shared" si="307"/>
        <v>#NUM!</v>
      </c>
      <c r="BL366" s="51">
        <f t="shared" si="355"/>
        <v>-20.452473277012579</v>
      </c>
      <c r="BM366" s="63">
        <f t="shared" si="356"/>
        <v>4.6707451385624292</v>
      </c>
    </row>
    <row r="367" spans="14:65" x14ac:dyDescent="0.3">
      <c r="N367" s="11">
        <v>49</v>
      </c>
      <c r="O367" s="52">
        <f t="shared" si="308"/>
        <v>30902.954325135954</v>
      </c>
      <c r="P367" s="50" t="str">
        <f t="shared" si="309"/>
        <v>23.3035714285714</v>
      </c>
      <c r="Q367" s="18" t="str">
        <f t="shared" si="310"/>
        <v>1+104.019101016501i</v>
      </c>
      <c r="R367" s="18">
        <f t="shared" si="321"/>
        <v>104.02390771491446</v>
      </c>
      <c r="S367" s="18">
        <f t="shared" si="322"/>
        <v>1.5611830040040513</v>
      </c>
      <c r="T367" s="18" t="str">
        <f t="shared" si="311"/>
        <v>1+0.194168988564136i</v>
      </c>
      <c r="U367" s="18">
        <f t="shared" si="323"/>
        <v>1.0186763942096722</v>
      </c>
      <c r="V367" s="18">
        <f t="shared" si="324"/>
        <v>0.19178258286333849</v>
      </c>
      <c r="W367" s="32" t="str">
        <f t="shared" si="312"/>
        <v>1-0.474635305378999i</v>
      </c>
      <c r="X367" s="18">
        <f t="shared" si="325"/>
        <v>1.1069230655796345</v>
      </c>
      <c r="Y367" s="18">
        <f t="shared" si="326"/>
        <v>-0.44315073628634566</v>
      </c>
      <c r="Z367" s="32" t="str">
        <f t="shared" si="313"/>
        <v>0.996180029655914+0.232949389805108i</v>
      </c>
      <c r="AA367" s="18">
        <f t="shared" si="327"/>
        <v>1.0230542848235522</v>
      </c>
      <c r="AB367" s="18">
        <f t="shared" si="328"/>
        <v>0.22971490899925637</v>
      </c>
      <c r="AC367" s="68" t="str">
        <f t="shared" si="329"/>
        <v>-0.112147032961231-0.219975396525843i</v>
      </c>
      <c r="AD367" s="66">
        <f t="shared" si="330"/>
        <v>-12.149113573835059</v>
      </c>
      <c r="AE367" s="63">
        <f t="shared" si="331"/>
        <v>-117.01322624901206</v>
      </c>
      <c r="AF367" s="51" t="e">
        <f t="shared" si="332"/>
        <v>#NUM!</v>
      </c>
      <c r="AG367" s="51" t="str">
        <f t="shared" si="314"/>
        <v>1-145.626741423102i</v>
      </c>
      <c r="AH367" s="51">
        <f t="shared" si="333"/>
        <v>145.63017481796487</v>
      </c>
      <c r="AI367" s="51">
        <f t="shared" si="334"/>
        <v>-1.5639295640513124</v>
      </c>
      <c r="AJ367" s="51" t="str">
        <f t="shared" si="315"/>
        <v>1+0.194168988564136i</v>
      </c>
      <c r="AK367" s="51">
        <f t="shared" si="335"/>
        <v>1.0186763942096722</v>
      </c>
      <c r="AL367" s="51">
        <f t="shared" si="336"/>
        <v>0.19178258286333849</v>
      </c>
      <c r="AM367" s="51" t="e">
        <f t="shared" si="316"/>
        <v>#NUM!</v>
      </c>
      <c r="AN367" s="51" t="e">
        <f t="shared" si="337"/>
        <v>#NUM!</v>
      </c>
      <c r="AO367" s="51" t="e">
        <f t="shared" si="338"/>
        <v>#NUM!</v>
      </c>
      <c r="AP367" s="60" t="e">
        <f t="shared" si="339"/>
        <v>#NUM!</v>
      </c>
      <c r="AQ367" s="51" t="e">
        <f t="shared" si="340"/>
        <v>#NUM!</v>
      </c>
      <c r="AR367" s="63" t="e">
        <f t="shared" si="341"/>
        <v>#NUM!</v>
      </c>
      <c r="AS367" s="32" t="str">
        <f t="shared" si="317"/>
        <v>-0.000170731707317073</v>
      </c>
      <c r="AT367" s="32" t="str">
        <f t="shared" si="318"/>
        <v>0.00737842156543717i</v>
      </c>
      <c r="AU367" s="32">
        <f t="shared" si="342"/>
        <v>7.3784215654371698E-3</v>
      </c>
      <c r="AV367" s="32">
        <f t="shared" si="343"/>
        <v>1.5707963267948966</v>
      </c>
      <c r="AW367" s="32" t="str">
        <f t="shared" si="319"/>
        <v>1+1.57092931168837i</v>
      </c>
      <c r="AX367" s="32">
        <f t="shared" si="344"/>
        <v>1.8622080717045817</v>
      </c>
      <c r="AY367" s="32">
        <f t="shared" si="345"/>
        <v>1.0039231724451294</v>
      </c>
      <c r="AZ367" s="32" t="str">
        <f t="shared" si="320"/>
        <v>1+29.847656922079i</v>
      </c>
      <c r="BA367" s="32">
        <f t="shared" si="346"/>
        <v>29.864403957523255</v>
      </c>
      <c r="BB367" s="32">
        <f t="shared" si="347"/>
        <v>1.5373053866642978</v>
      </c>
      <c r="BC367" s="60" t="str">
        <f t="shared" si="348"/>
        <v>-0.188678952770922+0.319540624131458i</v>
      </c>
      <c r="BD367" s="51">
        <f t="shared" si="349"/>
        <v>-8.6104727008795798</v>
      </c>
      <c r="BE367" s="63">
        <f t="shared" si="350"/>
        <v>120.5605497421011</v>
      </c>
      <c r="BF367" s="60" t="str">
        <f t="shared" si="351"/>
        <v>0.091450860234924+0.00566919454494142i</v>
      </c>
      <c r="BG367" s="66">
        <f t="shared" si="352"/>
        <v>-20.759586274714636</v>
      </c>
      <c r="BH367" s="63">
        <f t="shared" si="353"/>
        <v>3.5473234930890287</v>
      </c>
      <c r="BI367" s="60" t="e">
        <f t="shared" si="306"/>
        <v>#NUM!</v>
      </c>
      <c r="BJ367" s="66" t="e">
        <f t="shared" si="354"/>
        <v>#NUM!</v>
      </c>
      <c r="BK367" s="63" t="e">
        <f t="shared" si="307"/>
        <v>#NUM!</v>
      </c>
      <c r="BL367" s="51">
        <f t="shared" si="355"/>
        <v>-20.759586274714636</v>
      </c>
      <c r="BM367" s="63">
        <f t="shared" si="356"/>
        <v>3.5473234930890287</v>
      </c>
    </row>
    <row r="368" spans="14:65" x14ac:dyDescent="0.3">
      <c r="N368" s="11">
        <v>50</v>
      </c>
      <c r="O368" s="52">
        <f t="shared" si="308"/>
        <v>31622.77660168384</v>
      </c>
      <c r="P368" s="50" t="str">
        <f t="shared" si="309"/>
        <v>23.3035714285714</v>
      </c>
      <c r="Q368" s="18" t="str">
        <f t="shared" si="310"/>
        <v>1+106.442017133529i</v>
      </c>
      <c r="R368" s="18">
        <f t="shared" si="321"/>
        <v>106.44671442301299</v>
      </c>
      <c r="S368" s="18">
        <f t="shared" si="322"/>
        <v>1.5614018169216586</v>
      </c>
      <c r="T368" s="18" t="str">
        <f t="shared" si="311"/>
        <v>1+0.198691765315922i</v>
      </c>
      <c r="U368" s="18">
        <f t="shared" si="323"/>
        <v>1.0195481438384151</v>
      </c>
      <c r="V368" s="18">
        <f t="shared" si="324"/>
        <v>0.19613732599725292</v>
      </c>
      <c r="W368" s="32" t="str">
        <f t="shared" si="312"/>
        <v>1-0.485690981883365i</v>
      </c>
      <c r="X368" s="18">
        <f t="shared" si="325"/>
        <v>1.1117084734240481</v>
      </c>
      <c r="Y368" s="18">
        <f t="shared" si="326"/>
        <v>-0.45213500663562844</v>
      </c>
      <c r="Z368" s="32" t="str">
        <f t="shared" si="313"/>
        <v>0.996+0.238375478143644i</v>
      </c>
      <c r="AA368" s="18">
        <f t="shared" si="327"/>
        <v>1.0241283457556531</v>
      </c>
      <c r="AB368" s="18">
        <f t="shared" si="328"/>
        <v>0.23491403181630441</v>
      </c>
      <c r="AC368" s="68" t="str">
        <f t="shared" si="329"/>
        <v>-0.112210151473155-0.214739507249848i</v>
      </c>
      <c r="AD368" s="66">
        <f t="shared" si="330"/>
        <v>-12.31331017831616</v>
      </c>
      <c r="AE368" s="63">
        <f t="shared" si="331"/>
        <v>-117.58890347086248</v>
      </c>
      <c r="AF368" s="51" t="e">
        <f t="shared" si="332"/>
        <v>#NUM!</v>
      </c>
      <c r="AG368" s="51" t="str">
        <f t="shared" si="314"/>
        <v>1-149.018823986942i</v>
      </c>
      <c r="AH368" s="51">
        <f t="shared" si="333"/>
        <v>149.02217922997639</v>
      </c>
      <c r="AI368" s="51">
        <f t="shared" si="334"/>
        <v>-1.5640858659074355</v>
      </c>
      <c r="AJ368" s="51" t="str">
        <f t="shared" si="315"/>
        <v>1+0.198691765315922i</v>
      </c>
      <c r="AK368" s="51">
        <f t="shared" si="335"/>
        <v>1.0195481438384151</v>
      </c>
      <c r="AL368" s="51">
        <f t="shared" si="336"/>
        <v>0.19613732599725292</v>
      </c>
      <c r="AM368" s="51" t="e">
        <f t="shared" si="316"/>
        <v>#NUM!</v>
      </c>
      <c r="AN368" s="51" t="e">
        <f t="shared" si="337"/>
        <v>#NUM!</v>
      </c>
      <c r="AO368" s="51" t="e">
        <f t="shared" si="338"/>
        <v>#NUM!</v>
      </c>
      <c r="AP368" s="60" t="e">
        <f t="shared" si="339"/>
        <v>#NUM!</v>
      </c>
      <c r="AQ368" s="51" t="e">
        <f t="shared" si="340"/>
        <v>#NUM!</v>
      </c>
      <c r="AR368" s="63" t="e">
        <f t="shared" si="341"/>
        <v>#NUM!</v>
      </c>
      <c r="AS368" s="32" t="str">
        <f t="shared" si="317"/>
        <v>-0.000170731707317073</v>
      </c>
      <c r="AT368" s="32" t="str">
        <f t="shared" si="318"/>
        <v>0.00755028708200505i</v>
      </c>
      <c r="AU368" s="32">
        <f t="shared" si="342"/>
        <v>7.5502870820050496E-3</v>
      </c>
      <c r="AV368" s="32">
        <f t="shared" si="343"/>
        <v>1.5707963267948966</v>
      </c>
      <c r="AW368" s="32" t="str">
        <f t="shared" si="319"/>
        <v>1+1.60752095601913i</v>
      </c>
      <c r="AX368" s="32">
        <f t="shared" si="344"/>
        <v>1.8931781807428105</v>
      </c>
      <c r="AY368" s="32">
        <f t="shared" si="345"/>
        <v>1.0143025193764035</v>
      </c>
      <c r="AZ368" s="32" t="str">
        <f t="shared" si="320"/>
        <v>1+30.5428981643635i</v>
      </c>
      <c r="BA368" s="32">
        <f t="shared" si="346"/>
        <v>30.559264197272146</v>
      </c>
      <c r="BB368" s="32">
        <f t="shared" si="347"/>
        <v>1.538067182903613</v>
      </c>
      <c r="BC368" s="60" t="str">
        <f t="shared" si="348"/>
        <v>-0.182556325485117+0.316075730214655i</v>
      </c>
      <c r="BD368" s="51">
        <f t="shared" si="349"/>
        <v>-8.7539575808289811</v>
      </c>
      <c r="BE368" s="63">
        <f t="shared" si="350"/>
        <v>120.00950467819867</v>
      </c>
      <c r="BF368" s="60" t="str">
        <f t="shared" si="351"/>
        <v>0.0883586194949985+0.00373514981564238i</v>
      </c>
      <c r="BG368" s="66">
        <f t="shared" si="352"/>
        <v>-21.067267759145135</v>
      </c>
      <c r="BH368" s="63">
        <f t="shared" si="353"/>
        <v>2.4206012073362029</v>
      </c>
      <c r="BI368" s="60" t="e">
        <f t="shared" si="306"/>
        <v>#NUM!</v>
      </c>
      <c r="BJ368" s="66" t="e">
        <f t="shared" si="354"/>
        <v>#NUM!</v>
      </c>
      <c r="BK368" s="63" t="e">
        <f t="shared" si="307"/>
        <v>#NUM!</v>
      </c>
      <c r="BL368" s="51">
        <f t="shared" si="355"/>
        <v>-21.067267759145135</v>
      </c>
      <c r="BM368" s="63">
        <f t="shared" si="356"/>
        <v>2.4206012073362029</v>
      </c>
    </row>
    <row r="369" spans="14:65" x14ac:dyDescent="0.3">
      <c r="N369" s="11">
        <v>51</v>
      </c>
      <c r="O369" s="52">
        <f t="shared" si="308"/>
        <v>32359.365692962871</v>
      </c>
      <c r="P369" s="50" t="str">
        <f t="shared" si="309"/>
        <v>23.3035714285714</v>
      </c>
      <c r="Q369" s="18" t="str">
        <f t="shared" si="310"/>
        <v>1+108.921370216969i</v>
      </c>
      <c r="R369" s="18">
        <f t="shared" si="321"/>
        <v>108.9259605876488</v>
      </c>
      <c r="S369" s="18">
        <f t="shared" si="322"/>
        <v>1.5616156499184712</v>
      </c>
      <c r="T369" s="18" t="str">
        <f t="shared" si="311"/>
        <v>1+0.203319891071675i</v>
      </c>
      <c r="U369" s="18">
        <f t="shared" si="323"/>
        <v>1.0204601795785067</v>
      </c>
      <c r="V369" s="18">
        <f t="shared" si="324"/>
        <v>0.2005857152495954</v>
      </c>
      <c r="W369" s="32" t="str">
        <f t="shared" si="312"/>
        <v>1-0.497004178175206i</v>
      </c>
      <c r="X369" s="18">
        <f t="shared" si="325"/>
        <v>1.1166974313231011</v>
      </c>
      <c r="Y369" s="18">
        <f t="shared" si="326"/>
        <v>-0.46124808071706563</v>
      </c>
      <c r="Z369" s="32" t="str">
        <f t="shared" si="313"/>
        <v>0.995811485807796+0.243927956315965i</v>
      </c>
      <c r="AA369" s="18">
        <f t="shared" si="327"/>
        <v>1.0252518535165951</v>
      </c>
      <c r="AB369" s="18">
        <f t="shared" si="328"/>
        <v>0.24022382938987377</v>
      </c>
      <c r="AC369" s="68" t="str">
        <f t="shared" si="329"/>
        <v>-0.112267417901473-0.209618044199014i</v>
      </c>
      <c r="AD369" s="66">
        <f t="shared" si="330"/>
        <v>-12.476157949907687</v>
      </c>
      <c r="AE369" s="63">
        <f t="shared" si="331"/>
        <v>-118.17265094360057</v>
      </c>
      <c r="AF369" s="51" t="e">
        <f t="shared" si="332"/>
        <v>#NUM!</v>
      </c>
      <c r="AG369" s="51" t="str">
        <f t="shared" si="314"/>
        <v>1-152.489918303757i</v>
      </c>
      <c r="AH369" s="51">
        <f t="shared" si="333"/>
        <v>152.49319717379686</v>
      </c>
      <c r="AI369" s="51">
        <f t="shared" si="334"/>
        <v>-1.5642386102157715</v>
      </c>
      <c r="AJ369" s="51" t="str">
        <f t="shared" si="315"/>
        <v>1+0.203319891071675i</v>
      </c>
      <c r="AK369" s="51">
        <f t="shared" si="335"/>
        <v>1.0204601795785067</v>
      </c>
      <c r="AL369" s="51">
        <f t="shared" si="336"/>
        <v>0.2005857152495954</v>
      </c>
      <c r="AM369" s="51" t="e">
        <f t="shared" si="316"/>
        <v>#NUM!</v>
      </c>
      <c r="AN369" s="51" t="e">
        <f t="shared" si="337"/>
        <v>#NUM!</v>
      </c>
      <c r="AO369" s="51" t="e">
        <f t="shared" si="338"/>
        <v>#NUM!</v>
      </c>
      <c r="AP369" s="60" t="e">
        <f t="shared" si="339"/>
        <v>#NUM!</v>
      </c>
      <c r="AQ369" s="51" t="e">
        <f t="shared" si="340"/>
        <v>#NUM!</v>
      </c>
      <c r="AR369" s="63" t="e">
        <f t="shared" si="341"/>
        <v>#NUM!</v>
      </c>
      <c r="AS369" s="32" t="str">
        <f t="shared" si="317"/>
        <v>-0.000170731707317073</v>
      </c>
      <c r="AT369" s="32" t="str">
        <f t="shared" si="318"/>
        <v>0.00772615586072367i</v>
      </c>
      <c r="AU369" s="32">
        <f t="shared" si="342"/>
        <v>7.7261558607236696E-3</v>
      </c>
      <c r="AV369" s="32">
        <f t="shared" si="343"/>
        <v>1.5707963267948966</v>
      </c>
      <c r="AW369" s="32" t="str">
        <f t="shared" si="319"/>
        <v>1+1.64496492923883i</v>
      </c>
      <c r="AX369" s="32">
        <f t="shared" si="344"/>
        <v>1.9250739254443472</v>
      </c>
      <c r="AY369" s="32">
        <f t="shared" si="345"/>
        <v>1.0245767820446596</v>
      </c>
      <c r="AZ369" s="32" t="str">
        <f t="shared" si="320"/>
        <v>1+31.2543336555379i</v>
      </c>
      <c r="BA369" s="32">
        <f t="shared" si="346"/>
        <v>31.270327344811868</v>
      </c>
      <c r="BB369" s="32">
        <f t="shared" si="347"/>
        <v>1.5388116752652754</v>
      </c>
      <c r="BC369" s="60" t="str">
        <f t="shared" si="348"/>
        <v>-0.176557041660184+0.312528027009016i</v>
      </c>
      <c r="BD369" s="51">
        <f t="shared" si="349"/>
        <v>-8.8992853156428993</v>
      </c>
      <c r="BE369" s="63">
        <f t="shared" si="350"/>
        <v>119.46348905990193</v>
      </c>
      <c r="BF369" s="60" t="str">
        <f t="shared" si="351"/>
        <v>0.0853331169585182+0.00192282714822756i</v>
      </c>
      <c r="BG369" s="66">
        <f t="shared" si="352"/>
        <v>-21.375443265550587</v>
      </c>
      <c r="BH369" s="63">
        <f t="shared" si="353"/>
        <v>1.2908381163013469</v>
      </c>
      <c r="BI369" s="60" t="e">
        <f t="shared" si="306"/>
        <v>#NUM!</v>
      </c>
      <c r="BJ369" s="66" t="e">
        <f t="shared" si="354"/>
        <v>#NUM!</v>
      </c>
      <c r="BK369" s="63" t="e">
        <f t="shared" si="307"/>
        <v>#NUM!</v>
      </c>
      <c r="BL369" s="51">
        <f t="shared" si="355"/>
        <v>-21.375443265550587</v>
      </c>
      <c r="BM369" s="63">
        <f t="shared" si="356"/>
        <v>1.2908381163013469</v>
      </c>
    </row>
    <row r="370" spans="14:65" x14ac:dyDescent="0.3">
      <c r="N370" s="11">
        <v>52</v>
      </c>
      <c r="O370" s="52">
        <f t="shared" si="308"/>
        <v>33113.11214825909</v>
      </c>
      <c r="P370" s="50" t="str">
        <f t="shared" si="309"/>
        <v>23.3035714285714</v>
      </c>
      <c r="Q370" s="18" t="str">
        <f t="shared" si="310"/>
        <v>1+111.458474852641i</v>
      </c>
      <c r="R370" s="18">
        <f t="shared" si="321"/>
        <v>111.4629607379815</v>
      </c>
      <c r="S370" s="18">
        <f t="shared" si="322"/>
        <v>1.5618246162933103</v>
      </c>
      <c r="T370" s="18" t="str">
        <f t="shared" si="311"/>
        <v>1+0.208055819724931i</v>
      </c>
      <c r="U370" s="18">
        <f t="shared" si="323"/>
        <v>1.0214143253946526</v>
      </c>
      <c r="V370" s="18">
        <f t="shared" si="324"/>
        <v>0.20512940467664134</v>
      </c>
      <c r="W370" s="32" t="str">
        <f t="shared" si="312"/>
        <v>1-0.508580892660943i</v>
      </c>
      <c r="X370" s="18">
        <f t="shared" si="325"/>
        <v>1.1218977334765416</v>
      </c>
      <c r="Y370" s="18">
        <f t="shared" si="326"/>
        <v>-0.47048873485075171</v>
      </c>
      <c r="Z370" s="32" t="str">
        <f t="shared" si="313"/>
        <v>0.995614087215427+0.249609768319493i</v>
      </c>
      <c r="AA370" s="18">
        <f t="shared" si="327"/>
        <v>1.0264270296043061</v>
      </c>
      <c r="AB370" s="18">
        <f t="shared" si="328"/>
        <v>0.24564618238689853</v>
      </c>
      <c r="AC370" s="68" t="str">
        <f t="shared" si="329"/>
        <v>-0.112318973248365-0.204608339427477i</v>
      </c>
      <c r="AD370" s="66">
        <f t="shared" si="330"/>
        <v>-12.637619101043398</v>
      </c>
      <c r="AE370" s="63">
        <f t="shared" si="331"/>
        <v>-118.76441803091113</v>
      </c>
      <c r="AF370" s="51" t="e">
        <f t="shared" si="332"/>
        <v>#NUM!</v>
      </c>
      <c r="AG370" s="51" t="str">
        <f t="shared" si="314"/>
        <v>1-156.041864793699i</v>
      </c>
      <c r="AH370" s="51">
        <f t="shared" si="333"/>
        <v>156.04506902909503</v>
      </c>
      <c r="AI370" s="51">
        <f t="shared" si="334"/>
        <v>-1.5643878779348488</v>
      </c>
      <c r="AJ370" s="51" t="str">
        <f t="shared" si="315"/>
        <v>1+0.208055819724931i</v>
      </c>
      <c r="AK370" s="51">
        <f t="shared" si="335"/>
        <v>1.0214143253946526</v>
      </c>
      <c r="AL370" s="51">
        <f t="shared" si="336"/>
        <v>0.20512940467664134</v>
      </c>
      <c r="AM370" s="51" t="e">
        <f t="shared" si="316"/>
        <v>#NUM!</v>
      </c>
      <c r="AN370" s="51" t="e">
        <f t="shared" si="337"/>
        <v>#NUM!</v>
      </c>
      <c r="AO370" s="51" t="e">
        <f t="shared" si="338"/>
        <v>#NUM!</v>
      </c>
      <c r="AP370" s="60" t="e">
        <f t="shared" si="339"/>
        <v>#NUM!</v>
      </c>
      <c r="AQ370" s="51" t="e">
        <f t="shared" si="340"/>
        <v>#NUM!</v>
      </c>
      <c r="AR370" s="63" t="e">
        <f t="shared" si="341"/>
        <v>#NUM!</v>
      </c>
      <c r="AS370" s="32" t="str">
        <f t="shared" si="317"/>
        <v>-0.000170731707317073</v>
      </c>
      <c r="AT370" s="32" t="str">
        <f t="shared" si="318"/>
        <v>0.00790612114954739i</v>
      </c>
      <c r="AU370" s="32">
        <f t="shared" si="342"/>
        <v>7.9061211495473904E-3</v>
      </c>
      <c r="AV370" s="32">
        <f t="shared" si="343"/>
        <v>1.5707963267948966</v>
      </c>
      <c r="AW370" s="32" t="str">
        <f t="shared" si="319"/>
        <v>1+1.6832810846377i</v>
      </c>
      <c r="AX370" s="32">
        <f t="shared" si="344"/>
        <v>1.9579160374998392</v>
      </c>
      <c r="AY370" s="32">
        <f t="shared" si="345"/>
        <v>1.0347427311480211</v>
      </c>
      <c r="AZ370" s="32" t="str">
        <f t="shared" si="320"/>
        <v>1+31.9823406081164i</v>
      </c>
      <c r="BA370" s="32">
        <f t="shared" si="346"/>
        <v>31.997970416474406</v>
      </c>
      <c r="BB370" s="32">
        <f t="shared" si="347"/>
        <v>1.5395392551859104</v>
      </c>
      <c r="BC370" s="60" t="str">
        <f t="shared" si="348"/>
        <v>-0.170683578321515+0.308903315030491i</v>
      </c>
      <c r="BD370" s="51">
        <f t="shared" si="349"/>
        <v>-9.0464182578183348</v>
      </c>
      <c r="BE370" s="63">
        <f t="shared" si="350"/>
        <v>118.92271034024522</v>
      </c>
      <c r="BF370" s="60" t="str">
        <f t="shared" si="351"/>
        <v>0.082375198599461+0.000227580350663913i</v>
      </c>
      <c r="BG370" s="66">
        <f t="shared" si="352"/>
        <v>-21.684037358861733</v>
      </c>
      <c r="BH370" s="63">
        <f t="shared" si="353"/>
        <v>0.15829230933411692</v>
      </c>
      <c r="BI370" s="60" t="e">
        <f t="shared" ref="BI370:BI433" si="357">IMPRODUCT(AP370,BC370)</f>
        <v>#NUM!</v>
      </c>
      <c r="BJ370" s="66" t="e">
        <f t="shared" si="354"/>
        <v>#NUM!</v>
      </c>
      <c r="BK370" s="63" t="e">
        <f t="shared" ref="BK370:BK433" si="358">(180/PI())*IMARGUMENT(BI370)</f>
        <v>#NUM!</v>
      </c>
      <c r="BL370" s="51">
        <f t="shared" si="355"/>
        <v>-21.684037358861733</v>
      </c>
      <c r="BM370" s="63">
        <f t="shared" si="356"/>
        <v>0.15829230933411692</v>
      </c>
    </row>
    <row r="371" spans="14:65" x14ac:dyDescent="0.3">
      <c r="N371" s="11">
        <v>53</v>
      </c>
      <c r="O371" s="52">
        <f t="shared" si="308"/>
        <v>33884.41561392029</v>
      </c>
      <c r="P371" s="50" t="str">
        <f t="shared" si="309"/>
        <v>23.3035714285714</v>
      </c>
      <c r="Q371" s="18" t="str">
        <f t="shared" si="310"/>
        <v>1+114.054676247009i</v>
      </c>
      <c r="R371" s="18">
        <f t="shared" si="321"/>
        <v>114.05906002510295</v>
      </c>
      <c r="S371" s="18">
        <f t="shared" si="322"/>
        <v>1.5620288267698723</v>
      </c>
      <c r="T371" s="18" t="str">
        <f t="shared" si="311"/>
        <v>1+0.212902062327751i</v>
      </c>
      <c r="U371" s="18">
        <f t="shared" si="323"/>
        <v>1.0224124843444595</v>
      </c>
      <c r="V371" s="18">
        <f t="shared" si="324"/>
        <v>0.20977005260919301</v>
      </c>
      <c r="W371" s="32" t="str">
        <f t="shared" si="312"/>
        <v>1-0.520427263467836i</v>
      </c>
      <c r="X371" s="18">
        <f t="shared" si="325"/>
        <v>1.1273174071931207</v>
      </c>
      <c r="Y371" s="18">
        <f t="shared" si="326"/>
        <v>-0.47985555517095474</v>
      </c>
      <c r="Z371" s="32" t="str">
        <f t="shared" si="313"/>
        <v>0.995407385514012+0.255423926726161i</v>
      </c>
      <c r="AA371" s="18">
        <f t="shared" si="327"/>
        <v>1.027656190308827</v>
      </c>
      <c r="AB371" s="18">
        <f t="shared" si="328"/>
        <v>0.25118297097291331</v>
      </c>
      <c r="AC371" s="68" t="str">
        <f t="shared" si="329"/>
        <v>-0.112364948114371-0.199707786376554i</v>
      </c>
      <c r="AD371" s="66">
        <f t="shared" si="330"/>
        <v>-12.797655783832912</v>
      </c>
      <c r="AE371" s="63">
        <f t="shared" si="331"/>
        <v>-119.36414277844911</v>
      </c>
      <c r="AF371" s="51" t="e">
        <f t="shared" si="332"/>
        <v>#NUM!</v>
      </c>
      <c r="AG371" s="51" t="str">
        <f t="shared" si="314"/>
        <v>1-159.676546745814i</v>
      </c>
      <c r="AH371" s="51">
        <f t="shared" si="333"/>
        <v>159.67967804535468</v>
      </c>
      <c r="AI371" s="51">
        <f t="shared" si="334"/>
        <v>-1.5645337481817663</v>
      </c>
      <c r="AJ371" s="51" t="str">
        <f t="shared" si="315"/>
        <v>1+0.212902062327751i</v>
      </c>
      <c r="AK371" s="51">
        <f t="shared" si="335"/>
        <v>1.0224124843444595</v>
      </c>
      <c r="AL371" s="51">
        <f t="shared" si="336"/>
        <v>0.20977005260919301</v>
      </c>
      <c r="AM371" s="51" t="e">
        <f t="shared" si="316"/>
        <v>#NUM!</v>
      </c>
      <c r="AN371" s="51" t="e">
        <f t="shared" si="337"/>
        <v>#NUM!</v>
      </c>
      <c r="AO371" s="51" t="e">
        <f t="shared" si="338"/>
        <v>#NUM!</v>
      </c>
      <c r="AP371" s="60" t="e">
        <f t="shared" si="339"/>
        <v>#NUM!</v>
      </c>
      <c r="AQ371" s="51" t="e">
        <f t="shared" si="340"/>
        <v>#NUM!</v>
      </c>
      <c r="AR371" s="63" t="e">
        <f t="shared" si="341"/>
        <v>#NUM!</v>
      </c>
      <c r="AS371" s="32" t="str">
        <f t="shared" si="317"/>
        <v>-0.000170731707317073</v>
      </c>
      <c r="AT371" s="32" t="str">
        <f t="shared" si="318"/>
        <v>0.00809027836845452i</v>
      </c>
      <c r="AU371" s="32">
        <f t="shared" si="342"/>
        <v>8.0902783684545197E-3</v>
      </c>
      <c r="AV371" s="32">
        <f t="shared" si="343"/>
        <v>1.5707963267948966</v>
      </c>
      <c r="AW371" s="32" t="str">
        <f t="shared" si="319"/>
        <v>1+1.72248973794852i</v>
      </c>
      <c r="AX371" s="32">
        <f t="shared" si="344"/>
        <v>1.9917256079435142</v>
      </c>
      <c r="AY371" s="32">
        <f t="shared" si="345"/>
        <v>1.0447973513994002</v>
      </c>
      <c r="AZ371" s="32" t="str">
        <f t="shared" si="320"/>
        <v>1+32.7273050210219i</v>
      </c>
      <c r="BA371" s="32">
        <f t="shared" si="346"/>
        <v>32.742579219404895</v>
      </c>
      <c r="BB371" s="32">
        <f t="shared" si="347"/>
        <v>1.5402503053549743</v>
      </c>
      <c r="BC371" s="60" t="str">
        <f t="shared" si="348"/>
        <v>-0.164938048657815+0.305207412998893i</v>
      </c>
      <c r="BD371" s="51">
        <f t="shared" si="349"/>
        <v>-9.1953180386426556</v>
      </c>
      <c r="BE371" s="63">
        <f t="shared" si="350"/>
        <v>118.38736320894388</v>
      </c>
      <c r="BF371" s="60" t="str">
        <f t="shared" si="351"/>
        <v>0.0794855521152446-0.00135520253902142i</v>
      </c>
      <c r="BG371" s="66">
        <f t="shared" si="352"/>
        <v>-21.99297382247557</v>
      </c>
      <c r="BH371" s="63">
        <f t="shared" si="353"/>
        <v>-0.97677956950521705</v>
      </c>
      <c r="BI371" s="60" t="e">
        <f t="shared" si="357"/>
        <v>#NUM!</v>
      </c>
      <c r="BJ371" s="66" t="e">
        <f t="shared" si="354"/>
        <v>#NUM!</v>
      </c>
      <c r="BK371" s="63" t="e">
        <f t="shared" si="358"/>
        <v>#NUM!</v>
      </c>
      <c r="BL371" s="51">
        <f t="shared" si="355"/>
        <v>-21.99297382247557</v>
      </c>
      <c r="BM371" s="63">
        <f t="shared" si="356"/>
        <v>-0.97677956950521705</v>
      </c>
    </row>
    <row r="372" spans="14:65" x14ac:dyDescent="0.3">
      <c r="N372" s="11">
        <v>54</v>
      </c>
      <c r="O372" s="52">
        <f t="shared" si="308"/>
        <v>34673.685045253202</v>
      </c>
      <c r="P372" s="50" t="str">
        <f t="shared" si="309"/>
        <v>23.3035714285714</v>
      </c>
      <c r="Q372" s="18" t="str">
        <f t="shared" si="310"/>
        <v>1+116.711350940414i</v>
      </c>
      <c r="R372" s="18">
        <f t="shared" si="321"/>
        <v>116.71563493524111</v>
      </c>
      <c r="S372" s="18">
        <f t="shared" si="322"/>
        <v>1.5622283895550881</v>
      </c>
      <c r="T372" s="18" t="str">
        <f t="shared" si="311"/>
        <v>1+0.217861188422107i</v>
      </c>
      <c r="U372" s="18">
        <f t="shared" si="323"/>
        <v>1.0234566416906448</v>
      </c>
      <c r="V372" s="18">
        <f t="shared" si="324"/>
        <v>0.21450931969345316</v>
      </c>
      <c r="W372" s="32" t="str">
        <f t="shared" si="312"/>
        <v>1-0.532549571698484i</v>
      </c>
      <c r="X372" s="18">
        <f t="shared" si="325"/>
        <v>1.1329647153888946</v>
      </c>
      <c r="Y372" s="18">
        <f t="shared" si="326"/>
        <v>-0.48934693264019336</v>
      </c>
      <c r="Z372" s="32" t="str">
        <f t="shared" si="313"/>
        <v>0.99519094226153+0.261373514279712i</v>
      </c>
      <c r="AA372" s="18">
        <f t="shared" si="327"/>
        <v>1.0289417503077221</v>
      </c>
      <c r="AB372" s="18">
        <f t="shared" si="328"/>
        <v>0.25683607225047217</v>
      </c>
      <c r="AC372" s="68" t="str">
        <f t="shared" si="329"/>
        <v>-0.112405463113167-0.194913838641289i</v>
      </c>
      <c r="AD372" s="66">
        <f t="shared" si="330"/>
        <v>-12.956230170338351</v>
      </c>
      <c r="AE372" s="63">
        <f t="shared" si="331"/>
        <v>-119.9717515969935</v>
      </c>
      <c r="AF372" s="51" t="e">
        <f t="shared" si="332"/>
        <v>#NUM!</v>
      </c>
      <c r="AG372" s="51" t="str">
        <f t="shared" si="314"/>
        <v>1-163.395891316581i</v>
      </c>
      <c r="AH372" s="51">
        <f t="shared" si="333"/>
        <v>163.39895134039244</v>
      </c>
      <c r="AI372" s="51">
        <f t="shared" si="334"/>
        <v>-1.5646762982740143</v>
      </c>
      <c r="AJ372" s="51" t="str">
        <f t="shared" si="315"/>
        <v>1+0.217861188422107i</v>
      </c>
      <c r="AK372" s="51">
        <f t="shared" si="335"/>
        <v>1.0234566416906448</v>
      </c>
      <c r="AL372" s="51">
        <f t="shared" si="336"/>
        <v>0.21450931969345316</v>
      </c>
      <c r="AM372" s="51" t="e">
        <f t="shared" si="316"/>
        <v>#NUM!</v>
      </c>
      <c r="AN372" s="51" t="e">
        <f t="shared" si="337"/>
        <v>#NUM!</v>
      </c>
      <c r="AO372" s="51" t="e">
        <f t="shared" si="338"/>
        <v>#NUM!</v>
      </c>
      <c r="AP372" s="60" t="e">
        <f t="shared" si="339"/>
        <v>#NUM!</v>
      </c>
      <c r="AQ372" s="51" t="e">
        <f t="shared" si="340"/>
        <v>#NUM!</v>
      </c>
      <c r="AR372" s="63" t="e">
        <f t="shared" si="341"/>
        <v>#NUM!</v>
      </c>
      <c r="AS372" s="32" t="str">
        <f t="shared" si="317"/>
        <v>-0.000170731707317073</v>
      </c>
      <c r="AT372" s="32" t="str">
        <f t="shared" si="318"/>
        <v>0.00827872516004008i</v>
      </c>
      <c r="AU372" s="32">
        <f t="shared" si="342"/>
        <v>8.2787251600400808E-3</v>
      </c>
      <c r="AV372" s="32">
        <f t="shared" si="343"/>
        <v>1.5707963267948966</v>
      </c>
      <c r="AW372" s="32" t="str">
        <f t="shared" si="319"/>
        <v>1+1.76261167811822i</v>
      </c>
      <c r="AX372" s="32">
        <f t="shared" si="344"/>
        <v>2.0265240999896172</v>
      </c>
      <c r="AY372" s="32">
        <f t="shared" si="345"/>
        <v>1.0547378415257675</v>
      </c>
      <c r="AZ372" s="32" t="str">
        <f t="shared" si="320"/>
        <v>1+33.4896218842463i</v>
      </c>
      <c r="BA372" s="32">
        <f t="shared" si="346"/>
        <v>33.504548556125755</v>
      </c>
      <c r="BB372" s="32">
        <f t="shared" si="347"/>
        <v>1.5409451999030208</v>
      </c>
      <c r="BC372" s="60" t="str">
        <f t="shared" si="348"/>
        <v>-0.159322209600213+0.30144613387633i</v>
      </c>
      <c r="BD372" s="51">
        <f t="shared" si="349"/>
        <v>-9.3459456791776248</v>
      </c>
      <c r="BE372" s="63">
        <f t="shared" si="350"/>
        <v>117.85762960322128</v>
      </c>
      <c r="BF372" s="60" t="str">
        <f t="shared" si="351"/>
        <v>0.0766647098517364-0.00283008882805307i</v>
      </c>
      <c r="BG372" s="66">
        <f t="shared" si="352"/>
        <v>-22.302175849515976</v>
      </c>
      <c r="BH372" s="63">
        <f t="shared" si="353"/>
        <v>-2.1141219937722004</v>
      </c>
      <c r="BI372" s="60" t="e">
        <f t="shared" si="357"/>
        <v>#NUM!</v>
      </c>
      <c r="BJ372" s="66" t="e">
        <f t="shared" si="354"/>
        <v>#NUM!</v>
      </c>
      <c r="BK372" s="63" t="e">
        <f t="shared" si="358"/>
        <v>#NUM!</v>
      </c>
      <c r="BL372" s="51">
        <f t="shared" si="355"/>
        <v>-22.302175849515976</v>
      </c>
      <c r="BM372" s="63">
        <f t="shared" si="356"/>
        <v>-2.1141219937722004</v>
      </c>
    </row>
    <row r="373" spans="14:65" x14ac:dyDescent="0.3">
      <c r="N373" s="11">
        <v>55</v>
      </c>
      <c r="O373" s="52">
        <f t="shared" si="308"/>
        <v>35481.33892335758</v>
      </c>
      <c r="P373" s="50" t="str">
        <f t="shared" si="309"/>
        <v>23.3035714285714</v>
      </c>
      <c r="Q373" s="18" t="str">
        <f t="shared" si="310"/>
        <v>1+119.429907536946i</v>
      </c>
      <c r="R373" s="18">
        <f t="shared" si="321"/>
        <v>119.43409401960342</v>
      </c>
      <c r="S373" s="18">
        <f t="shared" si="322"/>
        <v>1.5624234103961705</v>
      </c>
      <c r="T373" s="18" t="str">
        <f t="shared" si="311"/>
        <v>1+0.2229358274023i</v>
      </c>
      <c r="U373" s="18">
        <f t="shared" si="323"/>
        <v>1.024548868107104</v>
      </c>
      <c r="V373" s="18">
        <f t="shared" si="324"/>
        <v>0.21934886678179702</v>
      </c>
      <c r="W373" s="32" t="str">
        <f t="shared" si="312"/>
        <v>1-0.544954244761178i</v>
      </c>
      <c r="X373" s="18">
        <f t="shared" si="325"/>
        <v>1.1388481588355956</v>
      </c>
      <c r="Y373" s="18">
        <f t="shared" si="326"/>
        <v>-0.49896105852449912</v>
      </c>
      <c r="Z373" s="32" t="str">
        <f t="shared" si="313"/>
        <v>0.994964298352823+0.267461685530224i</v>
      </c>
      <c r="AA373" s="18">
        <f t="shared" si="327"/>
        <v>1.0302862263581871</v>
      </c>
      <c r="AB373" s="18">
        <f t="shared" si="328"/>
        <v>0.26260735752149089</v>
      </c>
      <c r="AC373" s="68" t="str">
        <f t="shared" si="329"/>
        <v>-0.112440629275202-0.190224008770549i</v>
      </c>
      <c r="AD373" s="66">
        <f t="shared" si="330"/>
        <v>-13.113304537271995</v>
      </c>
      <c r="AE373" s="63">
        <f t="shared" si="331"/>
        <v>-120.58715897046122</v>
      </c>
      <c r="AF373" s="51" t="e">
        <f t="shared" si="332"/>
        <v>#NUM!</v>
      </c>
      <c r="AG373" s="51" t="str">
        <f t="shared" si="314"/>
        <v>1-167.201870551725i</v>
      </c>
      <c r="AH373" s="51">
        <f t="shared" si="333"/>
        <v>167.20486092215083</v>
      </c>
      <c r="AI373" s="51">
        <f t="shared" si="334"/>
        <v>-1.5648156037703522</v>
      </c>
      <c r="AJ373" s="51" t="str">
        <f t="shared" si="315"/>
        <v>1+0.2229358274023i</v>
      </c>
      <c r="AK373" s="51">
        <f t="shared" si="335"/>
        <v>1.024548868107104</v>
      </c>
      <c r="AL373" s="51">
        <f t="shared" si="336"/>
        <v>0.21934886678179702</v>
      </c>
      <c r="AM373" s="51" t="e">
        <f t="shared" si="316"/>
        <v>#NUM!</v>
      </c>
      <c r="AN373" s="51" t="e">
        <f t="shared" si="337"/>
        <v>#NUM!</v>
      </c>
      <c r="AO373" s="51" t="e">
        <f t="shared" si="338"/>
        <v>#NUM!</v>
      </c>
      <c r="AP373" s="60" t="e">
        <f t="shared" si="339"/>
        <v>#NUM!</v>
      </c>
      <c r="AQ373" s="51" t="e">
        <f t="shared" si="340"/>
        <v>#NUM!</v>
      </c>
      <c r="AR373" s="63" t="e">
        <f t="shared" si="341"/>
        <v>#NUM!</v>
      </c>
      <c r="AS373" s="32" t="str">
        <f t="shared" si="317"/>
        <v>-0.000170731707317073</v>
      </c>
      <c r="AT373" s="32" t="str">
        <f t="shared" si="318"/>
        <v>0.00847156144128738i</v>
      </c>
      <c r="AU373" s="32">
        <f t="shared" si="342"/>
        <v>8.4715614412873806E-3</v>
      </c>
      <c r="AV373" s="32">
        <f t="shared" si="343"/>
        <v>1.5707963267948966</v>
      </c>
      <c r="AW373" s="32" t="str">
        <f t="shared" si="319"/>
        <v>1+1.80366817833061i</v>
      </c>
      <c r="AX373" s="32">
        <f t="shared" si="344"/>
        <v>2.0623333623646936</v>
      </c>
      <c r="AY373" s="32">
        <f t="shared" si="345"/>
        <v>1.06456161345138</v>
      </c>
      <c r="AZ373" s="32" t="str">
        <f t="shared" si="320"/>
        <v>1+34.2696953882816i</v>
      </c>
      <c r="BA373" s="32">
        <f t="shared" si="346"/>
        <v>34.284282433873528</v>
      </c>
      <c r="BB373" s="32">
        <f t="shared" si="347"/>
        <v>1.5416243045864058</v>
      </c>
      <c r="BC373" s="60" t="str">
        <f t="shared" si="348"/>
        <v>-0.153837471019986+0.297625262187135i</v>
      </c>
      <c r="BD373" s="51">
        <f t="shared" si="349"/>
        <v>-9.4982616986361847</v>
      </c>
      <c r="BE373" s="63">
        <f t="shared" si="350"/>
        <v>117.3336787651902</v>
      </c>
      <c r="BF373" s="60" t="str">
        <f t="shared" si="351"/>
        <v>0.0739130525322154-0.00420159133197354i</v>
      </c>
      <c r="BG373" s="66">
        <f t="shared" si="352"/>
        <v>-22.611566235908175</v>
      </c>
      <c r="BH373" s="63">
        <f t="shared" si="353"/>
        <v>-3.2534802052709919</v>
      </c>
      <c r="BI373" s="60" t="e">
        <f t="shared" si="357"/>
        <v>#NUM!</v>
      </c>
      <c r="BJ373" s="66" t="e">
        <f t="shared" si="354"/>
        <v>#NUM!</v>
      </c>
      <c r="BK373" s="63" t="e">
        <f t="shared" si="358"/>
        <v>#NUM!</v>
      </c>
      <c r="BL373" s="51">
        <f t="shared" si="355"/>
        <v>-22.611566235908175</v>
      </c>
      <c r="BM373" s="63">
        <f t="shared" si="356"/>
        <v>-3.2534802052709919</v>
      </c>
    </row>
    <row r="374" spans="14:65" x14ac:dyDescent="0.3">
      <c r="N374" s="11">
        <v>56</v>
      </c>
      <c r="O374" s="52">
        <f t="shared" si="308"/>
        <v>36307.805477010232</v>
      </c>
      <c r="P374" s="50" t="str">
        <f t="shared" si="309"/>
        <v>23.3035714285714</v>
      </c>
      <c r="Q374" s="18" t="str">
        <f t="shared" si="310"/>
        <v>1+122.211787451295i</v>
      </c>
      <c r="R374" s="18">
        <f t="shared" si="321"/>
        <v>122.21587864119992</v>
      </c>
      <c r="S374" s="18">
        <f t="shared" si="322"/>
        <v>1.5626139926363785</v>
      </c>
      <c r="T374" s="18" t="str">
        <f t="shared" si="311"/>
        <v>1+0.228128669909085i</v>
      </c>
      <c r="U374" s="18">
        <f t="shared" si="323"/>
        <v>1.0256913229790376</v>
      </c>
      <c r="V374" s="18">
        <f t="shared" si="324"/>
        <v>0.22429035266685068</v>
      </c>
      <c r="W374" s="32" t="str">
        <f t="shared" si="312"/>
        <v>1-0.557647859777763i</v>
      </c>
      <c r="X374" s="18">
        <f t="shared" si="325"/>
        <v>1.1449764781491014</v>
      </c>
      <c r="Y374" s="18">
        <f t="shared" si="326"/>
        <v>-0.50869592038512257</v>
      </c>
      <c r="Z374" s="32" t="str">
        <f t="shared" si="313"/>
        <v>0.994726973045774+0.273691668506677i</v>
      </c>
      <c r="AA374" s="18">
        <f t="shared" si="327"/>
        <v>1.0316922410848968</v>
      </c>
      <c r="AB374" s="18">
        <f t="shared" si="328"/>
        <v>0.26849868936758131</v>
      </c>
      <c r="AC374" s="68" t="str">
        <f t="shared" si="329"/>
        <v>-0.11247054844164-0.185635867100011i</v>
      </c>
      <c r="AD374" s="66">
        <f t="shared" si="330"/>
        <v>-13.26884135490905</v>
      </c>
      <c r="AE374" s="63">
        <f t="shared" si="331"/>
        <v>-121.21026719198679</v>
      </c>
      <c r="AF374" s="51" t="e">
        <f t="shared" si="332"/>
        <v>#NUM!</v>
      </c>
      <c r="AG374" s="51" t="str">
        <f t="shared" si="314"/>
        <v>1-171.096502431814i</v>
      </c>
      <c r="AH374" s="51">
        <f t="shared" si="333"/>
        <v>171.09942473427469</v>
      </c>
      <c r="AI374" s="51">
        <f t="shared" si="334"/>
        <v>-1.5649517385107585</v>
      </c>
      <c r="AJ374" s="51" t="str">
        <f t="shared" si="315"/>
        <v>1+0.228128669909085i</v>
      </c>
      <c r="AK374" s="51">
        <f t="shared" si="335"/>
        <v>1.0256913229790376</v>
      </c>
      <c r="AL374" s="51">
        <f t="shared" si="336"/>
        <v>0.22429035266685068</v>
      </c>
      <c r="AM374" s="51" t="e">
        <f t="shared" si="316"/>
        <v>#NUM!</v>
      </c>
      <c r="AN374" s="51" t="e">
        <f t="shared" si="337"/>
        <v>#NUM!</v>
      </c>
      <c r="AO374" s="51" t="e">
        <f t="shared" si="338"/>
        <v>#NUM!</v>
      </c>
      <c r="AP374" s="60" t="e">
        <f t="shared" si="339"/>
        <v>#NUM!</v>
      </c>
      <c r="AQ374" s="51" t="e">
        <f t="shared" si="340"/>
        <v>#NUM!</v>
      </c>
      <c r="AR374" s="63" t="e">
        <f t="shared" si="341"/>
        <v>#NUM!</v>
      </c>
      <c r="AS374" s="32" t="str">
        <f t="shared" si="317"/>
        <v>-0.000170731707317073</v>
      </c>
      <c r="AT374" s="32" t="str">
        <f t="shared" si="318"/>
        <v>0.00866888945654524i</v>
      </c>
      <c r="AU374" s="32">
        <f t="shared" si="342"/>
        <v>8.6688894565452399E-3</v>
      </c>
      <c r="AV374" s="32">
        <f t="shared" si="343"/>
        <v>1.5707963267948966</v>
      </c>
      <c r="AW374" s="32" t="str">
        <f t="shared" si="319"/>
        <v>1+1.8456810072855i</v>
      </c>
      <c r="AX374" s="32">
        <f t="shared" si="344"/>
        <v>2.0991756431167019</v>
      </c>
      <c r="AY374" s="32">
        <f t="shared" si="345"/>
        <v>1.0742662907116267</v>
      </c>
      <c r="AZ374" s="32" t="str">
        <f t="shared" si="320"/>
        <v>1+35.0679391384246i</v>
      </c>
      <c r="BA374" s="32">
        <f t="shared" si="346"/>
        <v>35.082194278811173</v>
      </c>
      <c r="BB374" s="32">
        <f t="shared" si="347"/>
        <v>1.5422879769684537</v>
      </c>
      <c r="BC374" s="60" t="str">
        <f t="shared" si="348"/>
        <v>-0.148484906374988+0.29375053271888i</v>
      </c>
      <c r="BD374" s="51">
        <f t="shared" si="349"/>
        <v>-9.6522262196842163</v>
      </c>
      <c r="BE374" s="63">
        <f t="shared" si="350"/>
        <v>116.81566734311208</v>
      </c>
      <c r="BF374" s="60" t="str">
        <f t="shared" si="351"/>
        <v>0.0712308137076599-0.0054741591737315i</v>
      </c>
      <c r="BG374" s="66">
        <f t="shared" si="352"/>
        <v>-22.921067574593266</v>
      </c>
      <c r="BH374" s="63">
        <f t="shared" si="353"/>
        <v>-4.3945998488746865</v>
      </c>
      <c r="BI374" s="60" t="e">
        <f t="shared" si="357"/>
        <v>#NUM!</v>
      </c>
      <c r="BJ374" s="66" t="e">
        <f t="shared" si="354"/>
        <v>#NUM!</v>
      </c>
      <c r="BK374" s="63" t="e">
        <f t="shared" si="358"/>
        <v>#NUM!</v>
      </c>
      <c r="BL374" s="51">
        <f t="shared" si="355"/>
        <v>-22.921067574593266</v>
      </c>
      <c r="BM374" s="63">
        <f t="shared" si="356"/>
        <v>-4.3945998488746865</v>
      </c>
    </row>
    <row r="375" spans="14:65" x14ac:dyDescent="0.3">
      <c r="N375" s="11">
        <v>57</v>
      </c>
      <c r="O375" s="52">
        <f t="shared" si="308"/>
        <v>37153.522909717351</v>
      </c>
      <c r="P375" s="50" t="str">
        <f t="shared" si="309"/>
        <v>23.3035714285714</v>
      </c>
      <c r="Q375" s="18" t="str">
        <f t="shared" si="310"/>
        <v>1+125.058465673015i</v>
      </c>
      <c r="R375" s="18">
        <f t="shared" si="321"/>
        <v>125.06246373907987</v>
      </c>
      <c r="S375" s="18">
        <f t="shared" si="322"/>
        <v>1.5628002372695287</v>
      </c>
      <c r="T375" s="18" t="str">
        <f t="shared" si="311"/>
        <v>1+0.233442469256296i</v>
      </c>
      <c r="U375" s="18">
        <f t="shared" si="323"/>
        <v>1.026886257797073</v>
      </c>
      <c r="V375" s="18">
        <f t="shared" si="324"/>
        <v>0.22933543165242593</v>
      </c>
      <c r="W375" s="32" t="str">
        <f t="shared" si="312"/>
        <v>1-0.570637147070946i</v>
      </c>
      <c r="X375" s="18">
        <f t="shared" si="325"/>
        <v>1.1513586555097715</v>
      </c>
      <c r="Y375" s="18">
        <f t="shared" si="326"/>
        <v>-0.51854929864217358</v>
      </c>
      <c r="Z375" s="32" t="str">
        <f t="shared" si="313"/>
        <v>0.994478462941588+0.28006676642851i</v>
      </c>
      <c r="AA375" s="18">
        <f t="shared" si="327"/>
        <v>1.0331625268622477</v>
      </c>
      <c r="AB375" s="18">
        <f t="shared" si="328"/>
        <v>0.27451191854286078</v>
      </c>
      <c r="AC375" s="68" t="str">
        <f t="shared" si="329"/>
        <v>-0.112495313649969-0.181147040617104i</v>
      </c>
      <c r="AD375" s="66">
        <f t="shared" si="330"/>
        <v>-13.4228033799681</v>
      </c>
      <c r="AE375" s="63">
        <f t="shared" si="331"/>
        <v>-121.84096613130292</v>
      </c>
      <c r="AF375" s="51" t="e">
        <f t="shared" si="332"/>
        <v>#NUM!</v>
      </c>
      <c r="AG375" s="51" t="str">
        <f t="shared" si="314"/>
        <v>1-175.081851942222i</v>
      </c>
      <c r="AH375" s="51">
        <f t="shared" si="333"/>
        <v>175.08470772605511</v>
      </c>
      <c r="AI375" s="51">
        <f t="shared" si="334"/>
        <v>-1.5650847746554792</v>
      </c>
      <c r="AJ375" s="51" t="str">
        <f t="shared" si="315"/>
        <v>1+0.233442469256296i</v>
      </c>
      <c r="AK375" s="51">
        <f t="shared" si="335"/>
        <v>1.026886257797073</v>
      </c>
      <c r="AL375" s="51">
        <f t="shared" si="336"/>
        <v>0.22933543165242593</v>
      </c>
      <c r="AM375" s="51" t="e">
        <f t="shared" si="316"/>
        <v>#NUM!</v>
      </c>
      <c r="AN375" s="51" t="e">
        <f t="shared" si="337"/>
        <v>#NUM!</v>
      </c>
      <c r="AO375" s="51" t="e">
        <f t="shared" si="338"/>
        <v>#NUM!</v>
      </c>
      <c r="AP375" s="60" t="e">
        <f t="shared" si="339"/>
        <v>#NUM!</v>
      </c>
      <c r="AQ375" s="51" t="e">
        <f t="shared" si="340"/>
        <v>#NUM!</v>
      </c>
      <c r="AR375" s="63" t="e">
        <f t="shared" si="341"/>
        <v>#NUM!</v>
      </c>
      <c r="AS375" s="32" t="str">
        <f t="shared" si="317"/>
        <v>-0.000170731707317073</v>
      </c>
      <c r="AT375" s="32" t="str">
        <f t="shared" si="318"/>
        <v>0.00887081383173926i</v>
      </c>
      <c r="AU375" s="32">
        <f t="shared" si="342"/>
        <v>8.8708138317392608E-3</v>
      </c>
      <c r="AV375" s="32">
        <f t="shared" si="343"/>
        <v>1.5707963267948966</v>
      </c>
      <c r="AW375" s="32" t="str">
        <f t="shared" si="319"/>
        <v>1+1.88867244074094i</v>
      </c>
      <c r="AX375" s="32">
        <f t="shared" si="344"/>
        <v>2.1370736038832026</v>
      </c>
      <c r="AY375" s="32">
        <f t="shared" si="345"/>
        <v>1.0838497061476107</v>
      </c>
      <c r="AZ375" s="32" t="str">
        <f t="shared" si="320"/>
        <v>1+35.8847763740778i</v>
      </c>
      <c r="BA375" s="32">
        <f t="shared" si="346"/>
        <v>35.898707155238505</v>
      </c>
      <c r="BB375" s="32">
        <f t="shared" si="347"/>
        <v>1.5429365665971335</v>
      </c>
      <c r="BC375" s="60" t="str">
        <f t="shared" si="348"/>
        <v>-0.143265264631697+0.289827610682866i</v>
      </c>
      <c r="BD375" s="51">
        <f t="shared" si="349"/>
        <v>-9.8077990702527789</v>
      </c>
      <c r="BE375" s="63">
        <f t="shared" si="350"/>
        <v>116.30373953366903</v>
      </c>
      <c r="BF375" s="60" t="str">
        <f t="shared" si="351"/>
        <v>0.0686180848442159-0.00665216925693195i</v>
      </c>
      <c r="BG375" s="66">
        <f t="shared" si="352"/>
        <v>-23.230602450220875</v>
      </c>
      <c r="BH375" s="63">
        <f t="shared" si="353"/>
        <v>-5.5372265976339143</v>
      </c>
      <c r="BI375" s="60" t="e">
        <f t="shared" si="357"/>
        <v>#NUM!</v>
      </c>
      <c r="BJ375" s="66" t="e">
        <f t="shared" si="354"/>
        <v>#NUM!</v>
      </c>
      <c r="BK375" s="63" t="e">
        <f t="shared" si="358"/>
        <v>#NUM!</v>
      </c>
      <c r="BL375" s="51">
        <f t="shared" si="355"/>
        <v>-23.230602450220875</v>
      </c>
      <c r="BM375" s="63">
        <f t="shared" si="356"/>
        <v>-5.5372265976339143</v>
      </c>
    </row>
    <row r="376" spans="14:65" x14ac:dyDescent="0.3">
      <c r="N376" s="11">
        <v>58</v>
      </c>
      <c r="O376" s="52">
        <f t="shared" si="308"/>
        <v>38018.939632056143</v>
      </c>
      <c r="P376" s="50" t="str">
        <f t="shared" si="309"/>
        <v>23.3035714285714</v>
      </c>
      <c r="Q376" s="18" t="str">
        <f t="shared" si="310"/>
        <v>1+127.97145154858i</v>
      </c>
      <c r="R376" s="18">
        <f t="shared" si="321"/>
        <v>127.97535861036123</v>
      </c>
      <c r="S376" s="18">
        <f t="shared" si="322"/>
        <v>1.5629822429932789</v>
      </c>
      <c r="T376" s="18" t="str">
        <f t="shared" si="311"/>
        <v>1+0.238880042890683i</v>
      </c>
      <c r="U376" s="18">
        <f t="shared" si="323"/>
        <v>1.0281360196449956</v>
      </c>
      <c r="V376" s="18">
        <f t="shared" si="324"/>
        <v>0.23448575095486229</v>
      </c>
      <c r="W376" s="32" t="str">
        <f t="shared" si="312"/>
        <v>1-0.583928993732781i</v>
      </c>
      <c r="X376" s="18">
        <f t="shared" si="325"/>
        <v>1.1580039161081357</v>
      </c>
      <c r="Y376" s="18">
        <f t="shared" si="326"/>
        <v>-0.52851876376494833</v>
      </c>
      <c r="Z376" s="32" t="str">
        <f t="shared" si="313"/>
        <v>0.994218240917016+0.286590359457025i</v>
      </c>
      <c r="AA376" s="18">
        <f t="shared" si="327"/>
        <v>1.0346999297892276</v>
      </c>
      <c r="AB376" s="18">
        <f t="shared" si="328"/>
        <v>0.28064888067400362</v>
      </c>
      <c r="AC376" s="68" t="str">
        <f t="shared" si="329"/>
        <v>-0.112515009512661-0.17675521185709i</v>
      </c>
      <c r="AD376" s="66">
        <f t="shared" si="330"/>
        <v>-13.575153752153025</v>
      </c>
      <c r="AE376" s="63">
        <f t="shared" si="331"/>
        <v>-122.479133036631</v>
      </c>
      <c r="AF376" s="51" t="e">
        <f t="shared" si="332"/>
        <v>#NUM!</v>
      </c>
      <c r="AG376" s="51" t="str">
        <f t="shared" si="314"/>
        <v>1-179.160032168013i</v>
      </c>
      <c r="AH376" s="51">
        <f t="shared" si="333"/>
        <v>179.1628229472941</v>
      </c>
      <c r="AI376" s="51">
        <f t="shared" si="334"/>
        <v>-1.5652147827231926</v>
      </c>
      <c r="AJ376" s="51" t="str">
        <f t="shared" si="315"/>
        <v>1+0.238880042890683i</v>
      </c>
      <c r="AK376" s="51">
        <f t="shared" si="335"/>
        <v>1.0281360196449956</v>
      </c>
      <c r="AL376" s="51">
        <f t="shared" si="336"/>
        <v>0.23448575095486229</v>
      </c>
      <c r="AM376" s="51" t="e">
        <f t="shared" si="316"/>
        <v>#NUM!</v>
      </c>
      <c r="AN376" s="51" t="e">
        <f t="shared" si="337"/>
        <v>#NUM!</v>
      </c>
      <c r="AO376" s="51" t="e">
        <f t="shared" si="338"/>
        <v>#NUM!</v>
      </c>
      <c r="AP376" s="60" t="e">
        <f t="shared" si="339"/>
        <v>#NUM!</v>
      </c>
      <c r="AQ376" s="51" t="e">
        <f t="shared" si="340"/>
        <v>#NUM!</v>
      </c>
      <c r="AR376" s="63" t="e">
        <f t="shared" si="341"/>
        <v>#NUM!</v>
      </c>
      <c r="AS376" s="32" t="str">
        <f t="shared" si="317"/>
        <v>-0.000170731707317073</v>
      </c>
      <c r="AT376" s="32" t="str">
        <f t="shared" si="318"/>
        <v>0.00907744162984595i</v>
      </c>
      <c r="AU376" s="32">
        <f t="shared" si="342"/>
        <v>9.07744162984595E-3</v>
      </c>
      <c r="AV376" s="32">
        <f t="shared" si="343"/>
        <v>1.5707963267948966</v>
      </c>
      <c r="AW376" s="32" t="str">
        <f t="shared" si="319"/>
        <v>1+1.93266527332399i</v>
      </c>
      <c r="AX376" s="32">
        <f t="shared" si="344"/>
        <v>2.1760503345999358</v>
      </c>
      <c r="AY376" s="32">
        <f t="shared" si="345"/>
        <v>1.0933098989336214</v>
      </c>
      <c r="AZ376" s="32" t="str">
        <f t="shared" si="320"/>
        <v>1+36.7206401931558i</v>
      </c>
      <c r="BA376" s="32">
        <f t="shared" si="346"/>
        <v>36.734253989909874</v>
      </c>
      <c r="BB376" s="32">
        <f t="shared" si="347"/>
        <v>1.5435704151792724</v>
      </c>
      <c r="BC376" s="60" t="str">
        <f t="shared" si="348"/>
        <v>-0.138178983289269+0.285862073391918i</v>
      </c>
      <c r="BD376" s="51">
        <f t="shared" si="349"/>
        <v>-9.9649398814989212</v>
      </c>
      <c r="BE376" s="63">
        <f t="shared" si="350"/>
        <v>115.79802726225741</v>
      </c>
      <c r="BF376" s="60" t="str">
        <f t="shared" si="351"/>
        <v>0.0660748209635374-0.00773991844150861i</v>
      </c>
      <c r="BG376" s="66">
        <f t="shared" si="352"/>
        <v>-23.540093633651949</v>
      </c>
      <c r="BH376" s="63">
        <f t="shared" si="353"/>
        <v>-6.6811057743736146</v>
      </c>
      <c r="BI376" s="60" t="e">
        <f t="shared" si="357"/>
        <v>#NUM!</v>
      </c>
      <c r="BJ376" s="66" t="e">
        <f t="shared" si="354"/>
        <v>#NUM!</v>
      </c>
      <c r="BK376" s="63" t="e">
        <f t="shared" si="358"/>
        <v>#NUM!</v>
      </c>
      <c r="BL376" s="51">
        <f t="shared" si="355"/>
        <v>-23.540093633651949</v>
      </c>
      <c r="BM376" s="63">
        <f t="shared" si="356"/>
        <v>-6.6811057743736146</v>
      </c>
    </row>
    <row r="377" spans="14:65" x14ac:dyDescent="0.3">
      <c r="N377" s="11">
        <v>59</v>
      </c>
      <c r="O377" s="52">
        <f t="shared" si="308"/>
        <v>38904.514499428085</v>
      </c>
      <c r="P377" s="50" t="str">
        <f t="shared" si="309"/>
        <v>23.3035714285714</v>
      </c>
      <c r="Q377" s="18" t="str">
        <f t="shared" si="310"/>
        <v>1+130.952289581658i</v>
      </c>
      <c r="R377" s="18">
        <f t="shared" si="321"/>
        <v>130.95610771047836</v>
      </c>
      <c r="S377" s="18">
        <f t="shared" si="322"/>
        <v>1.5631601062612124</v>
      </c>
      <c r="T377" s="18" t="str">
        <f t="shared" si="311"/>
        <v>1+0.244444273885762i</v>
      </c>
      <c r="U377" s="18">
        <f t="shared" si="323"/>
        <v>1.0294430547803688</v>
      </c>
      <c r="V377" s="18">
        <f t="shared" si="324"/>
        <v>0.23974294792854348</v>
      </c>
      <c r="W377" s="32" t="str">
        <f t="shared" si="312"/>
        <v>1-0.597530447276307i</v>
      </c>
      <c r="X377" s="18">
        <f t="shared" si="325"/>
        <v>1.1649217293115548</v>
      </c>
      <c r="Y377" s="18">
        <f t="shared" si="326"/>
        <v>-0.53860167414266791</v>
      </c>
      <c r="Z377" s="32" t="str">
        <f t="shared" si="313"/>
        <v>0.993945755006255+0.293265906487596i</v>
      </c>
      <c r="AA377" s="18">
        <f t="shared" si="327"/>
        <v>1.0363074137546957</v>
      </c>
      <c r="AB377" s="18">
        <f t="shared" si="328"/>
        <v>0.286911392762844</v>
      </c>
      <c r="AC377" s="68" t="str">
        <f t="shared" si="329"/>
        <v>-0.112529712590229-0.172458117829332i</v>
      </c>
      <c r="AD377" s="66">
        <f t="shared" si="330"/>
        <v>-13.725856094000035</v>
      </c>
      <c r="AE377" s="63">
        <f t="shared" si="331"/>
        <v>-123.12463237424515</v>
      </c>
      <c r="AF377" s="51" t="e">
        <f t="shared" si="332"/>
        <v>#NUM!</v>
      </c>
      <c r="AG377" s="51" t="str">
        <f t="shared" si="314"/>
        <v>1-183.333205414322i</v>
      </c>
      <c r="AH377" s="51">
        <f t="shared" si="333"/>
        <v>183.33593266866697</v>
      </c>
      <c r="AI377" s="51">
        <f t="shared" si="334"/>
        <v>-1.565341831628307</v>
      </c>
      <c r="AJ377" s="51" t="str">
        <f t="shared" si="315"/>
        <v>1+0.244444273885762i</v>
      </c>
      <c r="AK377" s="51">
        <f t="shared" si="335"/>
        <v>1.0294430547803688</v>
      </c>
      <c r="AL377" s="51">
        <f t="shared" si="336"/>
        <v>0.23974294792854348</v>
      </c>
      <c r="AM377" s="51" t="e">
        <f t="shared" si="316"/>
        <v>#NUM!</v>
      </c>
      <c r="AN377" s="51" t="e">
        <f t="shared" si="337"/>
        <v>#NUM!</v>
      </c>
      <c r="AO377" s="51" t="e">
        <f t="shared" si="338"/>
        <v>#NUM!</v>
      </c>
      <c r="AP377" s="60" t="e">
        <f t="shared" si="339"/>
        <v>#NUM!</v>
      </c>
      <c r="AQ377" s="51" t="e">
        <f t="shared" si="340"/>
        <v>#NUM!</v>
      </c>
      <c r="AR377" s="63" t="e">
        <f t="shared" si="341"/>
        <v>#NUM!</v>
      </c>
      <c r="AS377" s="32" t="str">
        <f t="shared" si="317"/>
        <v>-0.000170731707317073</v>
      </c>
      <c r="AT377" s="32" t="str">
        <f t="shared" si="318"/>
        <v>0.00928888240765894i</v>
      </c>
      <c r="AU377" s="32">
        <f t="shared" si="342"/>
        <v>9.2888824076589396E-3</v>
      </c>
      <c r="AV377" s="32">
        <f t="shared" si="343"/>
        <v>1.5707963267948966</v>
      </c>
      <c r="AW377" s="32" t="str">
        <f t="shared" si="319"/>
        <v>1+1.9776828306168i</v>
      </c>
      <c r="AX377" s="32">
        <f t="shared" si="344"/>
        <v>2.2161293686327248</v>
      </c>
      <c r="AY377" s="32">
        <f t="shared" si="345"/>
        <v>1.1026451109916473</v>
      </c>
      <c r="AZ377" s="32" t="str">
        <f t="shared" si="320"/>
        <v>1+37.5759737817193i</v>
      </c>
      <c r="BA377" s="32">
        <f t="shared" si="346"/>
        <v>37.589277801581346</v>
      </c>
      <c r="BB377" s="32">
        <f t="shared" si="347"/>
        <v>1.5441898567513519</v>
      </c>
      <c r="BC377" s="60" t="str">
        <f t="shared" si="348"/>
        <v>-0.133226202333663+0.281859393493703i</v>
      </c>
      <c r="BD377" s="51">
        <f t="shared" si="349"/>
        <v>-10.123608181606524</v>
      </c>
      <c r="BE377" s="63">
        <f t="shared" si="350"/>
        <v>115.29865039820808</v>
      </c>
      <c r="BF377" s="60" t="str">
        <f t="shared" si="351"/>
        <v>0.0636008467525359-0.00874161644068937i</v>
      </c>
      <c r="BG377" s="66">
        <f t="shared" si="352"/>
        <v>-23.849464275606561</v>
      </c>
      <c r="BH377" s="63">
        <f t="shared" si="353"/>
        <v>-7.8259819760370499</v>
      </c>
      <c r="BI377" s="60" t="e">
        <f t="shared" si="357"/>
        <v>#NUM!</v>
      </c>
      <c r="BJ377" s="66" t="e">
        <f t="shared" si="354"/>
        <v>#NUM!</v>
      </c>
      <c r="BK377" s="63" t="e">
        <f t="shared" si="358"/>
        <v>#NUM!</v>
      </c>
      <c r="BL377" s="51">
        <f t="shared" si="355"/>
        <v>-23.849464275606561</v>
      </c>
      <c r="BM377" s="63">
        <f t="shared" si="356"/>
        <v>-7.8259819760370499</v>
      </c>
    </row>
    <row r="378" spans="14:65" x14ac:dyDescent="0.3">
      <c r="N378" s="11">
        <v>60</v>
      </c>
      <c r="O378" s="52">
        <f t="shared" si="308"/>
        <v>39810.717055349742</v>
      </c>
      <c r="P378" s="50" t="str">
        <f t="shared" si="309"/>
        <v>23.3035714285714</v>
      </c>
      <c r="Q378" s="18" t="str">
        <f t="shared" si="310"/>
        <v>1+134.00256025203i</v>
      </c>
      <c r="R378" s="18">
        <f t="shared" si="321"/>
        <v>134.00629147207579</v>
      </c>
      <c r="S378" s="18">
        <f t="shared" si="322"/>
        <v>1.5633339213337478</v>
      </c>
      <c r="T378" s="18" t="str">
        <f t="shared" si="311"/>
        <v>1+0.250138112470457i</v>
      </c>
      <c r="U378" s="18">
        <f t="shared" si="323"/>
        <v>1.0308099123069603</v>
      </c>
      <c r="V378" s="18">
        <f t="shared" si="324"/>
        <v>0.24510864710952476</v>
      </c>
      <c r="W378" s="32" t="str">
        <f t="shared" si="312"/>
        <v>1-0.611448719372228i</v>
      </c>
      <c r="X378" s="18">
        <f t="shared" si="325"/>
        <v>1.1721218095496464</v>
      </c>
      <c r="Y378" s="18">
        <f t="shared" si="326"/>
        <v>-0.54879517468738515</v>
      </c>
      <c r="Z378" s="32" t="str">
        <f t="shared" si="313"/>
        <v>0.993660427230156+0.300096946983619i</v>
      </c>
      <c r="AA378" s="18">
        <f t="shared" si="327"/>
        <v>1.0379880645903909</v>
      </c>
      <c r="AB378" s="18">
        <f t="shared" si="328"/>
        <v>0.29330124948736264</v>
      </c>
      <c r="AC378" s="68" t="str">
        <f t="shared" si="329"/>
        <v>-0.112539491760035-0.168253548972735i</v>
      </c>
      <c r="AD378" s="66">
        <f t="shared" si="330"/>
        <v>-13.874874613618822</v>
      </c>
      <c r="AE378" s="63">
        <f t="shared" si="331"/>
        <v>-123.77731570879509</v>
      </c>
      <c r="AF378" s="51" t="e">
        <f t="shared" si="332"/>
        <v>#NUM!</v>
      </c>
      <c r="AG378" s="51" t="str">
        <f t="shared" si="314"/>
        <v>1-187.603584352843i</v>
      </c>
      <c r="AH378" s="51">
        <f t="shared" si="333"/>
        <v>187.60624952819208</v>
      </c>
      <c r="AI378" s="51">
        <f t="shared" si="334"/>
        <v>-1.5654659887174183</v>
      </c>
      <c r="AJ378" s="51" t="str">
        <f t="shared" si="315"/>
        <v>1+0.250138112470457i</v>
      </c>
      <c r="AK378" s="51">
        <f t="shared" si="335"/>
        <v>1.0308099123069603</v>
      </c>
      <c r="AL378" s="51">
        <f t="shared" si="336"/>
        <v>0.24510864710952476</v>
      </c>
      <c r="AM378" s="51" t="e">
        <f t="shared" si="316"/>
        <v>#NUM!</v>
      </c>
      <c r="AN378" s="51" t="e">
        <f t="shared" si="337"/>
        <v>#NUM!</v>
      </c>
      <c r="AO378" s="51" t="e">
        <f t="shared" si="338"/>
        <v>#NUM!</v>
      </c>
      <c r="AP378" s="60" t="e">
        <f t="shared" si="339"/>
        <v>#NUM!</v>
      </c>
      <c r="AQ378" s="51" t="e">
        <f t="shared" si="340"/>
        <v>#NUM!</v>
      </c>
      <c r="AR378" s="63" t="e">
        <f t="shared" si="341"/>
        <v>#NUM!</v>
      </c>
      <c r="AS378" s="32" t="str">
        <f t="shared" si="317"/>
        <v>-0.000170731707317073</v>
      </c>
      <c r="AT378" s="32" t="str">
        <f t="shared" si="318"/>
        <v>0.00950524827387738i</v>
      </c>
      <c r="AU378" s="32">
        <f t="shared" si="342"/>
        <v>9.50524827387738E-3</v>
      </c>
      <c r="AV378" s="32">
        <f t="shared" si="343"/>
        <v>1.5707963267948966</v>
      </c>
      <c r="AW378" s="32" t="str">
        <f t="shared" si="319"/>
        <v>1+2.02374898152414i</v>
      </c>
      <c r="AX378" s="32">
        <f t="shared" si="344"/>
        <v>2.2573346983156917</v>
      </c>
      <c r="AY378" s="32">
        <f t="shared" si="345"/>
        <v>1.111853782847898</v>
      </c>
      <c r="AZ378" s="32" t="str">
        <f t="shared" si="320"/>
        <v>1+38.4512306489587i</v>
      </c>
      <c r="BA378" s="32">
        <f t="shared" si="346"/>
        <v>38.464231935909247</v>
      </c>
      <c r="BB378" s="32">
        <f t="shared" si="347"/>
        <v>1.5447952178469271</v>
      </c>
      <c r="BC378" s="60" t="str">
        <f t="shared" si="348"/>
        <v>-0.128406778953721+0.27782492377936i</v>
      </c>
      <c r="BD378" s="51">
        <f t="shared" si="349"/>
        <v>-10.283763485169287</v>
      </c>
      <c r="BE378" s="63">
        <f t="shared" si="350"/>
        <v>114.80571700178187</v>
      </c>
      <c r="BF378" s="60" t="str">
        <f t="shared" si="351"/>
        <v>0.0611958630609518-0.00966137944927858i</v>
      </c>
      <c r="BG378" s="66">
        <f t="shared" si="352"/>
        <v>-24.158638098788114</v>
      </c>
      <c r="BH378" s="63">
        <f t="shared" si="353"/>
        <v>-8.9715987070132392</v>
      </c>
      <c r="BI378" s="60" t="e">
        <f t="shared" si="357"/>
        <v>#NUM!</v>
      </c>
      <c r="BJ378" s="66" t="e">
        <f t="shared" si="354"/>
        <v>#NUM!</v>
      </c>
      <c r="BK378" s="63" t="e">
        <f t="shared" si="358"/>
        <v>#NUM!</v>
      </c>
      <c r="BL378" s="51">
        <f t="shared" si="355"/>
        <v>-24.158638098788114</v>
      </c>
      <c r="BM378" s="63">
        <f t="shared" si="356"/>
        <v>-8.9715987070132392</v>
      </c>
    </row>
    <row r="379" spans="14:65" x14ac:dyDescent="0.3">
      <c r="N379" s="11">
        <v>61</v>
      </c>
      <c r="O379" s="52">
        <f t="shared" si="308"/>
        <v>40738.027780411358</v>
      </c>
      <c r="P379" s="50" t="str">
        <f t="shared" si="309"/>
        <v>23.3035714285714</v>
      </c>
      <c r="Q379" s="18" t="str">
        <f t="shared" si="310"/>
        <v>1+137.123880853582i</v>
      </c>
      <c r="R379" s="18">
        <f t="shared" si="321"/>
        <v>137.127527142975</v>
      </c>
      <c r="S379" s="18">
        <f t="shared" si="322"/>
        <v>1.5635037803279037</v>
      </c>
      <c r="T379" s="18" t="str">
        <f t="shared" si="311"/>
        <v>1+0.255964577593354i</v>
      </c>
      <c r="U379" s="18">
        <f t="shared" si="323"/>
        <v>1.0322392479374847</v>
      </c>
      <c r="V379" s="18">
        <f t="shared" si="324"/>
        <v>0.25058445707150573</v>
      </c>
      <c r="W379" s="32" t="str">
        <f t="shared" si="312"/>
        <v>1-0.625691189672643i</v>
      </c>
      <c r="X379" s="18">
        <f t="shared" si="325"/>
        <v>1.1796141169187351</v>
      </c>
      <c r="Y379" s="18">
        <f t="shared" si="326"/>
        <v>-0.55909619621829831</v>
      </c>
      <c r="Z379" s="32" t="str">
        <f t="shared" si="313"/>
        <v>0.99336165237025+0.307087102853187i</v>
      </c>
      <c r="AA379" s="18">
        <f t="shared" si="327"/>
        <v>1.0397450943084643</v>
      </c>
      <c r="AB379" s="18">
        <f t="shared" si="328"/>
        <v>0.29982021929757718</v>
      </c>
      <c r="AC379" s="68" t="str">
        <f t="shared" si="329"/>
        <v>-0.112544408582125-0.164139348139321i</v>
      </c>
      <c r="AD379" s="66">
        <f t="shared" si="330"/>
        <v>-14.022174209862875</v>
      </c>
      <c r="AE379" s="63">
        <f t="shared" si="331"/>
        <v>-124.43702162732853</v>
      </c>
      <c r="AF379" s="51" t="e">
        <f t="shared" si="332"/>
        <v>#NUM!</v>
      </c>
      <c r="AG379" s="51" t="str">
        <f t="shared" si="314"/>
        <v>1-191.973433195016i</v>
      </c>
      <c r="AH379" s="51">
        <f t="shared" si="333"/>
        <v>191.97603770440017</v>
      </c>
      <c r="AI379" s="51">
        <f t="shared" si="334"/>
        <v>-1.5655873198049388</v>
      </c>
      <c r="AJ379" s="51" t="str">
        <f t="shared" si="315"/>
        <v>1+0.255964577593354i</v>
      </c>
      <c r="AK379" s="51">
        <f t="shared" si="335"/>
        <v>1.0322392479374847</v>
      </c>
      <c r="AL379" s="51">
        <f t="shared" si="336"/>
        <v>0.25058445707150573</v>
      </c>
      <c r="AM379" s="51" t="e">
        <f t="shared" si="316"/>
        <v>#NUM!</v>
      </c>
      <c r="AN379" s="51" t="e">
        <f t="shared" si="337"/>
        <v>#NUM!</v>
      </c>
      <c r="AO379" s="51" t="e">
        <f t="shared" si="338"/>
        <v>#NUM!</v>
      </c>
      <c r="AP379" s="60" t="e">
        <f t="shared" si="339"/>
        <v>#NUM!</v>
      </c>
      <c r="AQ379" s="51" t="e">
        <f t="shared" si="340"/>
        <v>#NUM!</v>
      </c>
      <c r="AR379" s="63" t="e">
        <f t="shared" si="341"/>
        <v>#NUM!</v>
      </c>
      <c r="AS379" s="32" t="str">
        <f t="shared" si="317"/>
        <v>-0.000170731707317073</v>
      </c>
      <c r="AT379" s="32" t="str">
        <f t="shared" si="318"/>
        <v>0.00972665394854747i</v>
      </c>
      <c r="AU379" s="32">
        <f t="shared" si="342"/>
        <v>9.7266539485474698E-3</v>
      </c>
      <c r="AV379" s="32">
        <f t="shared" si="343"/>
        <v>1.5707963267948966</v>
      </c>
      <c r="AW379" s="32" t="str">
        <f t="shared" si="319"/>
        <v>1+2.07088815092896i</v>
      </c>
      <c r="AX379" s="32">
        <f t="shared" si="344"/>
        <v>2.2996907908799322</v>
      </c>
      <c r="AY379" s="32">
        <f t="shared" si="345"/>
        <v>1.1209345489867795</v>
      </c>
      <c r="AZ379" s="32" t="str">
        <f t="shared" si="320"/>
        <v>1+39.3468748676504i</v>
      </c>
      <c r="BA379" s="32">
        <f t="shared" si="346"/>
        <v>39.359580305823108</v>
      </c>
      <c r="BB379" s="32">
        <f t="shared" si="347"/>
        <v>1.5453868176607124</v>
      </c>
      <c r="BC379" s="60" t="str">
        <f t="shared" si="348"/>
        <v>-0.123720302856681+0.273763883570064i</v>
      </c>
      <c r="BD379" s="51">
        <f t="shared" si="349"/>
        <v>-10.445365377949773</v>
      </c>
      <c r="BE379" s="63">
        <f t="shared" si="350"/>
        <v>114.31932359976923</v>
      </c>
      <c r="BF379" s="60" t="str">
        <f t="shared" si="351"/>
        <v>0.0588594537078858-0.0105032245050436i</v>
      </c>
      <c r="BG379" s="66">
        <f t="shared" si="352"/>
        <v>-24.467539587812652</v>
      </c>
      <c r="BH379" s="63">
        <f t="shared" si="353"/>
        <v>-10.117698027559294</v>
      </c>
      <c r="BI379" s="60" t="e">
        <f t="shared" si="357"/>
        <v>#NUM!</v>
      </c>
      <c r="BJ379" s="66" t="e">
        <f t="shared" si="354"/>
        <v>#NUM!</v>
      </c>
      <c r="BK379" s="63" t="e">
        <f t="shared" si="358"/>
        <v>#NUM!</v>
      </c>
      <c r="BL379" s="51">
        <f t="shared" si="355"/>
        <v>-24.467539587812652</v>
      </c>
      <c r="BM379" s="63">
        <f t="shared" si="356"/>
        <v>-10.117698027559294</v>
      </c>
    </row>
    <row r="380" spans="14:65" x14ac:dyDescent="0.3">
      <c r="N380" s="11">
        <v>62</v>
      </c>
      <c r="O380" s="52">
        <f t="shared" si="308"/>
        <v>41686.938347033625</v>
      </c>
      <c r="P380" s="50" t="str">
        <f t="shared" si="309"/>
        <v>23.3035714285714</v>
      </c>
      <c r="Q380" s="18" t="str">
        <f t="shared" si="310"/>
        <v>1+140.317906351812i</v>
      </c>
      <c r="R380" s="18">
        <f t="shared" si="321"/>
        <v>140.32146964365748</v>
      </c>
      <c r="S380" s="18">
        <f t="shared" si="322"/>
        <v>1.5636697732659379</v>
      </c>
      <c r="T380" s="18" t="str">
        <f t="shared" si="311"/>
        <v>1+0.261926758523383i</v>
      </c>
      <c r="U380" s="18">
        <f t="shared" si="323"/>
        <v>1.0337338278447536</v>
      </c>
      <c r="V380" s="18">
        <f t="shared" si="324"/>
        <v>0.2561719670887086</v>
      </c>
      <c r="W380" s="32" t="str">
        <f t="shared" si="312"/>
        <v>1-0.640265409723825i</v>
      </c>
      <c r="X380" s="18">
        <f t="shared" si="325"/>
        <v>1.1874088575081532</v>
      </c>
      <c r="Y380" s="18">
        <f t="shared" si="326"/>
        <v>-0.56950145567334232</v>
      </c>
      <c r="Z380" s="32" t="str">
        <f t="shared" si="313"/>
        <v>0.993048796685002+0.314240080369466i</v>
      </c>
      <c r="AA380" s="18">
        <f t="shared" si="327"/>
        <v>1.0415818454198109</v>
      </c>
      <c r="AB380" s="18">
        <f t="shared" si="328"/>
        <v>0.30647004030359237</v>
      </c>
      <c r="AC380" s="68" t="str">
        <f t="shared" si="329"/>
        <v>-0.112544517663428-0.160113409604812i</v>
      </c>
      <c r="AD380" s="66">
        <f t="shared" si="330"/>
        <v>-14.167720579409677</v>
      </c>
      <c r="AE380" s="63">
        <f t="shared" si="331"/>
        <v>-125.10357570980881</v>
      </c>
      <c r="AF380" s="51" t="e">
        <f t="shared" si="332"/>
        <v>#NUM!</v>
      </c>
      <c r="AG380" s="51" t="str">
        <f t="shared" si="314"/>
        <v>1-196.445068892538i</v>
      </c>
      <c r="AH380" s="51">
        <f t="shared" si="333"/>
        <v>196.44761411682759</v>
      </c>
      <c r="AI380" s="51">
        <f t="shared" si="334"/>
        <v>-1.5657058892079199</v>
      </c>
      <c r="AJ380" s="51" t="str">
        <f t="shared" si="315"/>
        <v>1+0.261926758523383i</v>
      </c>
      <c r="AK380" s="51">
        <f t="shared" si="335"/>
        <v>1.0337338278447536</v>
      </c>
      <c r="AL380" s="51">
        <f t="shared" si="336"/>
        <v>0.2561719670887086</v>
      </c>
      <c r="AM380" s="51" t="e">
        <f t="shared" si="316"/>
        <v>#NUM!</v>
      </c>
      <c r="AN380" s="51" t="e">
        <f t="shared" si="337"/>
        <v>#NUM!</v>
      </c>
      <c r="AO380" s="51" t="e">
        <f t="shared" si="338"/>
        <v>#NUM!</v>
      </c>
      <c r="AP380" s="60" t="e">
        <f t="shared" si="339"/>
        <v>#NUM!</v>
      </c>
      <c r="AQ380" s="51" t="e">
        <f t="shared" si="340"/>
        <v>#NUM!</v>
      </c>
      <c r="AR380" s="63" t="e">
        <f t="shared" si="341"/>
        <v>#NUM!</v>
      </c>
      <c r="AS380" s="32" t="str">
        <f t="shared" si="317"/>
        <v>-0.000170731707317073</v>
      </c>
      <c r="AT380" s="32" t="str">
        <f t="shared" si="318"/>
        <v>0.00995321682388855i</v>
      </c>
      <c r="AU380" s="32">
        <f t="shared" si="342"/>
        <v>9.9532168238885502E-3</v>
      </c>
      <c r="AV380" s="32">
        <f t="shared" si="343"/>
        <v>1.5707963267948966</v>
      </c>
      <c r="AW380" s="32" t="str">
        <f t="shared" si="319"/>
        <v>1+2.11912533264286i</v>
      </c>
      <c r="AX380" s="32">
        <f t="shared" si="344"/>
        <v>2.3432226047579672</v>
      </c>
      <c r="AY380" s="32">
        <f t="shared" si="345"/>
        <v>1.129886232757602</v>
      </c>
      <c r="AZ380" s="32" t="str">
        <f t="shared" si="320"/>
        <v>1+40.2633813202145i</v>
      </c>
      <c r="BA380" s="32">
        <f t="shared" si="346"/>
        <v>40.275797637501825</v>
      </c>
      <c r="BB380" s="32">
        <f t="shared" si="347"/>
        <v>1.5459649682093772</v>
      </c>
      <c r="BC380" s="60" t="str">
        <f t="shared" si="348"/>
        <v>-0.119166112027724+0.26968134666852i</v>
      </c>
      <c r="BD380" s="51">
        <f t="shared" si="349"/>
        <v>-10.608373596857101</v>
      </c>
      <c r="BE380" s="63">
        <f t="shared" si="350"/>
        <v>113.8395554865271</v>
      </c>
      <c r="BF380" s="60" t="str">
        <f t="shared" si="351"/>
        <v>0.0565910925219003-0.0112710645775244i</v>
      </c>
      <c r="BG380" s="66">
        <f t="shared" si="352"/>
        <v>-24.776094176266774</v>
      </c>
      <c r="BH380" s="63">
        <f t="shared" si="353"/>
        <v>-11.264020223281689</v>
      </c>
      <c r="BI380" s="60" t="e">
        <f t="shared" si="357"/>
        <v>#NUM!</v>
      </c>
      <c r="BJ380" s="66" t="e">
        <f t="shared" si="354"/>
        <v>#NUM!</v>
      </c>
      <c r="BK380" s="63" t="e">
        <f t="shared" si="358"/>
        <v>#NUM!</v>
      </c>
      <c r="BL380" s="51">
        <f t="shared" si="355"/>
        <v>-24.776094176266774</v>
      </c>
      <c r="BM380" s="63">
        <f t="shared" si="356"/>
        <v>-11.264020223281689</v>
      </c>
    </row>
    <row r="381" spans="14:65" x14ac:dyDescent="0.3">
      <c r="N381" s="11">
        <v>63</v>
      </c>
      <c r="O381" s="52">
        <f t="shared" si="308"/>
        <v>42657.951880159271</v>
      </c>
      <c r="P381" s="50" t="str">
        <f t="shared" si="309"/>
        <v>23.3035714285714</v>
      </c>
      <c r="Q381" s="18" t="str">
        <f t="shared" si="310"/>
        <v>1+143.586330261316i</v>
      </c>
      <c r="R381" s="18">
        <f t="shared" si="321"/>
        <v>143.58981244472642</v>
      </c>
      <c r="S381" s="18">
        <f t="shared" si="322"/>
        <v>1.5638319881228926</v>
      </c>
      <c r="T381" s="18" t="str">
        <f t="shared" si="311"/>
        <v>1+0.268027816487791i</v>
      </c>
      <c r="U381" s="18">
        <f t="shared" si="323"/>
        <v>1.0352965325988555</v>
      </c>
      <c r="V381" s="18">
        <f t="shared" si="324"/>
        <v>0.26187274360068102</v>
      </c>
      <c r="W381" s="32" t="str">
        <f t="shared" si="312"/>
        <v>1-0.655179106970156i</v>
      </c>
      <c r="X381" s="18">
        <f t="shared" si="325"/>
        <v>1.1955164834539971</v>
      </c>
      <c r="Y381" s="18">
        <f t="shared" si="326"/>
        <v>-0.58000745718990276</v>
      </c>
      <c r="Z381" s="32" t="str">
        <f t="shared" si="313"/>
        <v>0.99272119656556+0.321559672135815i</v>
      </c>
      <c r="AA381" s="18">
        <f t="shared" si="327"/>
        <v>1.0435017953289061</v>
      </c>
      <c r="AB381" s="18">
        <f t="shared" si="328"/>
        <v>0.31325241595399606</v>
      </c>
      <c r="AC381" s="68" t="str">
        <f t="shared" si="329"/>
        <v>-0.112539867021523-0.156173678104982i</v>
      </c>
      <c r="AD381" s="66">
        <f t="shared" si="330"/>
        <v>-14.311480325184174</v>
      </c>
      <c r="AE381" s="63">
        <f t="shared" si="331"/>
        <v>-125.77679054870073</v>
      </c>
      <c r="AF381" s="51" t="e">
        <f t="shared" si="332"/>
        <v>#NUM!</v>
      </c>
      <c r="AG381" s="51" t="str">
        <f t="shared" si="314"/>
        <v>1-201.020862365844i</v>
      </c>
      <c r="AH381" s="51">
        <f t="shared" si="333"/>
        <v>201.02334965448068</v>
      </c>
      <c r="AI381" s="51">
        <f t="shared" si="334"/>
        <v>-1.5658217597800852</v>
      </c>
      <c r="AJ381" s="51" t="str">
        <f t="shared" si="315"/>
        <v>1+0.268027816487791i</v>
      </c>
      <c r="AK381" s="51">
        <f t="shared" si="335"/>
        <v>1.0352965325988555</v>
      </c>
      <c r="AL381" s="51">
        <f t="shared" si="336"/>
        <v>0.26187274360068102</v>
      </c>
      <c r="AM381" s="51" t="e">
        <f t="shared" si="316"/>
        <v>#NUM!</v>
      </c>
      <c r="AN381" s="51" t="e">
        <f t="shared" si="337"/>
        <v>#NUM!</v>
      </c>
      <c r="AO381" s="51" t="e">
        <f t="shared" si="338"/>
        <v>#NUM!</v>
      </c>
      <c r="AP381" s="60" t="e">
        <f t="shared" si="339"/>
        <v>#NUM!</v>
      </c>
      <c r="AQ381" s="51" t="e">
        <f t="shared" si="340"/>
        <v>#NUM!</v>
      </c>
      <c r="AR381" s="63" t="e">
        <f t="shared" si="341"/>
        <v>#NUM!</v>
      </c>
      <c r="AS381" s="32" t="str">
        <f t="shared" si="317"/>
        <v>-0.000170731707317073</v>
      </c>
      <c r="AT381" s="32" t="str">
        <f t="shared" si="318"/>
        <v>0.010185057026536i</v>
      </c>
      <c r="AU381" s="32">
        <f t="shared" si="342"/>
        <v>1.0185057026536E-2</v>
      </c>
      <c r="AV381" s="32">
        <f t="shared" si="343"/>
        <v>1.5707963267948966</v>
      </c>
      <c r="AW381" s="32" t="str">
        <f t="shared" si="319"/>
        <v>1+2.16848610265806i</v>
      </c>
      <c r="AX381" s="32">
        <f t="shared" si="344"/>
        <v>2.3879556062500709</v>
      </c>
      <c r="AY381" s="32">
        <f t="shared" si="345"/>
        <v>1.1387078408885052</v>
      </c>
      <c r="AZ381" s="32" t="str">
        <f t="shared" si="320"/>
        <v>1+41.2012359505033i</v>
      </c>
      <c r="BA381" s="32">
        <f t="shared" si="346"/>
        <v>41.213369722082248</v>
      </c>
      <c r="BB381" s="32">
        <f t="shared" si="347"/>
        <v>1.5465299744890981</v>
      </c>
      <c r="BC381" s="60" t="str">
        <f t="shared" si="348"/>
        <v>-0.114743308786658+0.26558223084835i</v>
      </c>
      <c r="BD381" s="51">
        <f t="shared" si="349"/>
        <v>-10.772748105030477</v>
      </c>
      <c r="BE381" s="63">
        <f t="shared" si="350"/>
        <v>113.36648704733429</v>
      </c>
      <c r="BF381" s="60" t="str">
        <f t="shared" si="351"/>
        <v>0.0543901505433733-0.0119687043718046i</v>
      </c>
      <c r="BG381" s="66">
        <f t="shared" si="352"/>
        <v>-25.084228430214651</v>
      </c>
      <c r="BH381" s="63">
        <f t="shared" si="353"/>
        <v>-12.410303501366382</v>
      </c>
      <c r="BI381" s="60" t="e">
        <f t="shared" si="357"/>
        <v>#NUM!</v>
      </c>
      <c r="BJ381" s="66" t="e">
        <f t="shared" si="354"/>
        <v>#NUM!</v>
      </c>
      <c r="BK381" s="63" t="e">
        <f t="shared" si="358"/>
        <v>#NUM!</v>
      </c>
      <c r="BL381" s="51">
        <f t="shared" si="355"/>
        <v>-25.084228430214651</v>
      </c>
      <c r="BM381" s="63">
        <f t="shared" si="356"/>
        <v>-12.410303501366382</v>
      </c>
    </row>
    <row r="382" spans="14:65" x14ac:dyDescent="0.3">
      <c r="N382" s="11">
        <v>64</v>
      </c>
      <c r="O382" s="52">
        <f t="shared" si="308"/>
        <v>43651.583224016598</v>
      </c>
      <c r="P382" s="50" t="str">
        <f t="shared" si="309"/>
        <v>23.3035714285714</v>
      </c>
      <c r="Q382" s="18" t="str">
        <f t="shared" si="310"/>
        <v>1+146.930885543715i</v>
      </c>
      <c r="R382" s="18">
        <f t="shared" si="321"/>
        <v>146.93428846481095</v>
      </c>
      <c r="S382" s="18">
        <f t="shared" si="322"/>
        <v>1.5639905108730652</v>
      </c>
      <c r="T382" s="18" t="str">
        <f t="shared" si="311"/>
        <v>1+0.274270986348268i</v>
      </c>
      <c r="U382" s="18">
        <f t="shared" si="323"/>
        <v>1.036930361187506</v>
      </c>
      <c r="V382" s="18">
        <f t="shared" si="324"/>
        <v>0.26768832647453805</v>
      </c>
      <c r="W382" s="32" t="str">
        <f t="shared" si="312"/>
        <v>1-0.670440188851322i</v>
      </c>
      <c r="X382" s="18">
        <f t="shared" si="325"/>
        <v>1.203947692728798</v>
      </c>
      <c r="Y382" s="18">
        <f t="shared" si="326"/>
        <v>-0.59061049409162114</v>
      </c>
      <c r="Z382" s="32" t="str">
        <f t="shared" si="313"/>
        <v>0.992378157128147+0.329049759096676i</v>
      </c>
      <c r="AA382" s="18">
        <f t="shared" si="327"/>
        <v>1.0455085608002634</v>
      </c>
      <c r="AB382" s="18">
        <f t="shared" si="328"/>
        <v>0.32016901050375252</v>
      </c>
      <c r="AC382" s="68" t="str">
        <f t="shared" si="329"/>
        <v>-0.112530498449231-0.152318147896532i</v>
      </c>
      <c r="AD382" s="66">
        <f t="shared" si="330"/>
        <v>-14.453421065505612</v>
      </c>
      <c r="AE382" s="63">
        <f t="shared" si="331"/>
        <v>-126.45646581995581</v>
      </c>
      <c r="AF382" s="51" t="e">
        <f t="shared" si="332"/>
        <v>#NUM!</v>
      </c>
      <c r="AG382" s="51" t="str">
        <f t="shared" si="314"/>
        <v>1-205.703239761202i</v>
      </c>
      <c r="AH382" s="51">
        <f t="shared" si="333"/>
        <v>205.70567043291382</v>
      </c>
      <c r="AI382" s="51">
        <f t="shared" si="334"/>
        <v>-1.5659349929450934</v>
      </c>
      <c r="AJ382" s="51" t="str">
        <f t="shared" si="315"/>
        <v>1+0.274270986348268i</v>
      </c>
      <c r="AK382" s="51">
        <f t="shared" si="335"/>
        <v>1.036930361187506</v>
      </c>
      <c r="AL382" s="51">
        <f t="shared" si="336"/>
        <v>0.26768832647453805</v>
      </c>
      <c r="AM382" s="51" t="e">
        <f t="shared" si="316"/>
        <v>#NUM!</v>
      </c>
      <c r="AN382" s="51" t="e">
        <f t="shared" si="337"/>
        <v>#NUM!</v>
      </c>
      <c r="AO382" s="51" t="e">
        <f t="shared" si="338"/>
        <v>#NUM!</v>
      </c>
      <c r="AP382" s="60" t="e">
        <f t="shared" si="339"/>
        <v>#NUM!</v>
      </c>
      <c r="AQ382" s="51" t="e">
        <f t="shared" si="340"/>
        <v>#NUM!</v>
      </c>
      <c r="AR382" s="63" t="e">
        <f t="shared" si="341"/>
        <v>#NUM!</v>
      </c>
      <c r="AS382" s="32" t="str">
        <f t="shared" si="317"/>
        <v>-0.000170731707317073</v>
      </c>
      <c r="AT382" s="32" t="str">
        <f t="shared" si="318"/>
        <v>0.0104222974812342i</v>
      </c>
      <c r="AU382" s="32">
        <f t="shared" si="342"/>
        <v>1.0422297481234201E-2</v>
      </c>
      <c r="AV382" s="32">
        <f t="shared" si="343"/>
        <v>1.5707963267948966</v>
      </c>
      <c r="AW382" s="32" t="str">
        <f t="shared" si="319"/>
        <v>1+2.21899663270819i</v>
      </c>
      <c r="AX382" s="32">
        <f t="shared" si="344"/>
        <v>2.4339157865403411</v>
      </c>
      <c r="AY382" s="32">
        <f t="shared" si="345"/>
        <v>1.1473985576610231</v>
      </c>
      <c r="AZ382" s="32" t="str">
        <f t="shared" si="320"/>
        <v>1+42.1609360214558i</v>
      </c>
      <c r="BA382" s="32">
        <f t="shared" si="346"/>
        <v>42.172793673235454</v>
      </c>
      <c r="BB382" s="32">
        <f t="shared" si="347"/>
        <v>1.5470821346299113</v>
      </c>
      <c r="BC382" s="60" t="str">
        <f t="shared" si="348"/>
        <v>-0.110450776004255+0.261471288841865i</v>
      </c>
      <c r="BD382" s="51">
        <f t="shared" si="349"/>
        <v>-10.938449161961074</v>
      </c>
      <c r="BE382" s="63">
        <f t="shared" si="350"/>
        <v>112.90018210100945</v>
      </c>
      <c r="BF382" s="60" t="str">
        <f t="shared" si="351"/>
        <v>0.0522559033223752-0.0125998368288351i</v>
      </c>
      <c r="BG382" s="66">
        <f t="shared" si="352"/>
        <v>-25.391870227466686</v>
      </c>
      <c r="BH382" s="63">
        <f t="shared" si="353"/>
        <v>-13.556283718946373</v>
      </c>
      <c r="BI382" s="60" t="e">
        <f t="shared" si="357"/>
        <v>#NUM!</v>
      </c>
      <c r="BJ382" s="66" t="e">
        <f t="shared" si="354"/>
        <v>#NUM!</v>
      </c>
      <c r="BK382" s="63" t="e">
        <f t="shared" si="358"/>
        <v>#NUM!</v>
      </c>
      <c r="BL382" s="51">
        <f t="shared" si="355"/>
        <v>-25.391870227466686</v>
      </c>
      <c r="BM382" s="63">
        <f t="shared" si="356"/>
        <v>-13.556283718946373</v>
      </c>
    </row>
    <row r="383" spans="14:65" x14ac:dyDescent="0.3">
      <c r="N383" s="11">
        <v>65</v>
      </c>
      <c r="O383" s="52">
        <f t="shared" si="308"/>
        <v>44668.359215096389</v>
      </c>
      <c r="P383" s="50" t="str">
        <f t="shared" si="309"/>
        <v>23.3035714285714</v>
      </c>
      <c r="Q383" s="18" t="str">
        <f t="shared" si="310"/>
        <v>1+150.353345526489i</v>
      </c>
      <c r="R383" s="18">
        <f t="shared" si="321"/>
        <v>150.35667098937708</v>
      </c>
      <c r="S383" s="18">
        <f t="shared" si="322"/>
        <v>1.5641454255354288</v>
      </c>
      <c r="T383" s="18" t="str">
        <f t="shared" si="311"/>
        <v>1+0.280659578316114i</v>
      </c>
      <c r="U383" s="18">
        <f t="shared" si="323"/>
        <v>1.0386384351161759</v>
      </c>
      <c r="V383" s="18">
        <f t="shared" si="324"/>
        <v>0.27362022506078149</v>
      </c>
      <c r="W383" s="32" t="str">
        <f t="shared" si="312"/>
        <v>1-0.686056746994946i</v>
      </c>
      <c r="X383" s="18">
        <f t="shared" si="325"/>
        <v>1.212713428678551</v>
      </c>
      <c r="Y383" s="18">
        <f t="shared" si="326"/>
        <v>-0.60130665181270826</v>
      </c>
      <c r="Z383" s="32" t="str">
        <f t="shared" si="313"/>
        <v>0.992018950740124+0.3367143125953i</v>
      </c>
      <c r="AA383" s="18">
        <f t="shared" si="327"/>
        <v>1.0476059024910378</v>
      </c>
      <c r="AB383" s="18">
        <f t="shared" si="328"/>
        <v>0.32722144427188765</v>
      </c>
      <c r="AC383" s="68" t="str">
        <f t="shared" si="329"/>
        <v>-0.112516447881183-0.148544861841086i</v>
      </c>
      <c r="AD383" s="66">
        <f t="shared" si="330"/>
        <v>-14.593511543297343</v>
      </c>
      <c r="AE383" s="63">
        <f t="shared" si="331"/>
        <v>-127.14238840743685</v>
      </c>
      <c r="AF383" s="51" t="e">
        <f t="shared" si="332"/>
        <v>#NUM!</v>
      </c>
      <c r="AG383" s="51" t="str">
        <f t="shared" si="314"/>
        <v>1-210.494683737086i</v>
      </c>
      <c r="AH383" s="51">
        <f t="shared" si="333"/>
        <v>210.49705908058638</v>
      </c>
      <c r="AI383" s="51">
        <f t="shared" si="334"/>
        <v>-1.5660456487290457</v>
      </c>
      <c r="AJ383" s="51" t="str">
        <f t="shared" si="315"/>
        <v>1+0.280659578316114i</v>
      </c>
      <c r="AK383" s="51">
        <f t="shared" si="335"/>
        <v>1.0386384351161759</v>
      </c>
      <c r="AL383" s="51">
        <f t="shared" si="336"/>
        <v>0.27362022506078149</v>
      </c>
      <c r="AM383" s="51" t="e">
        <f t="shared" si="316"/>
        <v>#NUM!</v>
      </c>
      <c r="AN383" s="51" t="e">
        <f t="shared" si="337"/>
        <v>#NUM!</v>
      </c>
      <c r="AO383" s="51" t="e">
        <f t="shared" si="338"/>
        <v>#NUM!</v>
      </c>
      <c r="AP383" s="60" t="e">
        <f t="shared" si="339"/>
        <v>#NUM!</v>
      </c>
      <c r="AQ383" s="51" t="e">
        <f t="shared" si="340"/>
        <v>#NUM!</v>
      </c>
      <c r="AR383" s="63" t="e">
        <f t="shared" si="341"/>
        <v>#NUM!</v>
      </c>
      <c r="AS383" s="32" t="str">
        <f t="shared" si="317"/>
        <v>-0.000170731707317073</v>
      </c>
      <c r="AT383" s="32" t="str">
        <f t="shared" si="318"/>
        <v>0.0106650639760123i</v>
      </c>
      <c r="AU383" s="32">
        <f t="shared" si="342"/>
        <v>1.0665063976012299E-2</v>
      </c>
      <c r="AV383" s="32">
        <f t="shared" si="343"/>
        <v>1.5707963267948966</v>
      </c>
      <c r="AW383" s="32" t="str">
        <f t="shared" si="319"/>
        <v>1+2.27068370414489i</v>
      </c>
      <c r="AX383" s="32">
        <f t="shared" si="344"/>
        <v>2.48112967905129</v>
      </c>
      <c r="AY383" s="32">
        <f t="shared" si="345"/>
        <v>1.1559577387970357</v>
      </c>
      <c r="AZ383" s="32" t="str">
        <f t="shared" si="320"/>
        <v>1+43.1429903787531i</v>
      </c>
      <c r="BA383" s="32">
        <f t="shared" si="346"/>
        <v>43.154578190745681</v>
      </c>
      <c r="BB383" s="32">
        <f t="shared" si="347"/>
        <v>1.5476217400469163</v>
      </c>
      <c r="BC383" s="60" t="str">
        <f t="shared" si="348"/>
        <v>-0.106287193351021+0.257353100775994i</v>
      </c>
      <c r="BD383" s="51">
        <f t="shared" si="349"/>
        <v>-11.105437388623344</v>
      </c>
      <c r="BE383" s="63">
        <f t="shared" si="350"/>
        <v>112.44069425882473</v>
      </c>
      <c r="BF383" s="60" t="str">
        <f t="shared" si="351"/>
        <v>0.0501875382502625-0.0131680402987188i</v>
      </c>
      <c r="BG383" s="66">
        <f t="shared" si="352"/>
        <v>-25.698948931920679</v>
      </c>
      <c r="BH383" s="63">
        <f t="shared" si="353"/>
        <v>-14.701694148612157</v>
      </c>
      <c r="BI383" s="60" t="e">
        <f t="shared" si="357"/>
        <v>#NUM!</v>
      </c>
      <c r="BJ383" s="66" t="e">
        <f t="shared" si="354"/>
        <v>#NUM!</v>
      </c>
      <c r="BK383" s="63" t="e">
        <f t="shared" si="358"/>
        <v>#NUM!</v>
      </c>
      <c r="BL383" s="51">
        <f t="shared" si="355"/>
        <v>-25.698948931920679</v>
      </c>
      <c r="BM383" s="63">
        <f t="shared" si="356"/>
        <v>-14.701694148612157</v>
      </c>
    </row>
    <row r="384" spans="14:65" x14ac:dyDescent="0.3">
      <c r="N384" s="11">
        <v>66</v>
      </c>
      <c r="O384" s="52">
        <f t="shared" ref="O384:O418" si="359">10^(4+(N384/100))</f>
        <v>45708.818961487581</v>
      </c>
      <c r="P384" s="50" t="str">
        <f t="shared" si="309"/>
        <v>23.3035714285714</v>
      </c>
      <c r="Q384" s="18" t="str">
        <f t="shared" si="310"/>
        <v>1+153.855524843223i</v>
      </c>
      <c r="R384" s="18">
        <f t="shared" si="321"/>
        <v>153.85877461095163</v>
      </c>
      <c r="S384" s="18">
        <f t="shared" si="322"/>
        <v>1.5642968142180289</v>
      </c>
      <c r="T384" s="18" t="str">
        <f t="shared" si="311"/>
        <v>1+0.28719697970735i</v>
      </c>
      <c r="U384" s="18">
        <f t="shared" si="323"/>
        <v>1.0404240025840541</v>
      </c>
      <c r="V384" s="18">
        <f t="shared" si="324"/>
        <v>0.279669914039545</v>
      </c>
      <c r="W384" s="32" t="str">
        <f t="shared" si="312"/>
        <v>1-0.702037061506856i</v>
      </c>
      <c r="X384" s="18">
        <f t="shared" si="325"/>
        <v>1.2218248793215749</v>
      </c>
      <c r="Y384" s="18">
        <f t="shared" si="326"/>
        <v>-0.61209181178485206</v>
      </c>
      <c r="Z384" s="32" t="str">
        <f t="shared" si="313"/>
        <v>0.991642815476584+0.3445573964794i</v>
      </c>
      <c r="AA384" s="18">
        <f t="shared" si="327"/>
        <v>1.0497977295436434</v>
      </c>
      <c r="AB384" s="18">
        <f t="shared" si="328"/>
        <v>0.33441128869053927</v>
      </c>
      <c r="AC384" s="68" t="str">
        <f t="shared" si="329"/>
        <v>-0.112497745763476-0.144851910510862i</v>
      </c>
      <c r="AD384" s="66">
        <f t="shared" si="330"/>
        <v>-14.731721734657032</v>
      </c>
      <c r="AE384" s="63">
        <f t="shared" si="331"/>
        <v>-127.83433258248779</v>
      </c>
      <c r="AF384" s="51" t="e">
        <f t="shared" si="332"/>
        <v>#NUM!</v>
      </c>
      <c r="AG384" s="51" t="str">
        <f t="shared" si="314"/>
        <v>1-215.397734780513i</v>
      </c>
      <c r="AH384" s="51">
        <f t="shared" si="333"/>
        <v>215.40005605518357</v>
      </c>
      <c r="AI384" s="51">
        <f t="shared" si="334"/>
        <v>-1.5661537857922578</v>
      </c>
      <c r="AJ384" s="51" t="str">
        <f t="shared" si="315"/>
        <v>1+0.28719697970735i</v>
      </c>
      <c r="AK384" s="51">
        <f t="shared" si="335"/>
        <v>1.0404240025840541</v>
      </c>
      <c r="AL384" s="51">
        <f t="shared" si="336"/>
        <v>0.279669914039545</v>
      </c>
      <c r="AM384" s="51" t="e">
        <f t="shared" si="316"/>
        <v>#NUM!</v>
      </c>
      <c r="AN384" s="51" t="e">
        <f t="shared" si="337"/>
        <v>#NUM!</v>
      </c>
      <c r="AO384" s="51" t="e">
        <f t="shared" si="338"/>
        <v>#NUM!</v>
      </c>
      <c r="AP384" s="60" t="e">
        <f t="shared" si="339"/>
        <v>#NUM!</v>
      </c>
      <c r="AQ384" s="51" t="e">
        <f t="shared" si="340"/>
        <v>#NUM!</v>
      </c>
      <c r="AR384" s="63" t="e">
        <f t="shared" si="341"/>
        <v>#NUM!</v>
      </c>
      <c r="AS384" s="32" t="str">
        <f t="shared" si="317"/>
        <v>-0.000170731707317073</v>
      </c>
      <c r="AT384" s="32" t="str">
        <f t="shared" si="318"/>
        <v>0.0109134852288793i</v>
      </c>
      <c r="AU384" s="32">
        <f t="shared" si="342"/>
        <v>1.09134852288793E-2</v>
      </c>
      <c r="AV384" s="32">
        <f t="shared" si="343"/>
        <v>1.5707963267948966</v>
      </c>
      <c r="AW384" s="32" t="str">
        <f t="shared" si="319"/>
        <v>1+2.32357472213757i</v>
      </c>
      <c r="AX384" s="32">
        <f t="shared" si="344"/>
        <v>2.529624377127301</v>
      </c>
      <c r="AY384" s="32">
        <f t="shared" si="345"/>
        <v>1.1643849051079618</v>
      </c>
      <c r="AZ384" s="32" t="str">
        <f t="shared" si="320"/>
        <v>1+44.1479197206139i</v>
      </c>
      <c r="BA384" s="32">
        <f t="shared" si="346"/>
        <v>44.159243830230714</v>
      </c>
      <c r="BB384" s="32">
        <f t="shared" si="347"/>
        <v>1.5481490755883747</v>
      </c>
      <c r="BC384" s="60" t="str">
        <f t="shared" si="348"/>
        <v>-0.10225105346196+0.253232067996919i</v>
      </c>
      <c r="BD384" s="51">
        <f t="shared" si="349"/>
        <v>-11.27367382762672</v>
      </c>
      <c r="BE384" s="63">
        <f t="shared" si="350"/>
        <v>111.98806729686672</v>
      </c>
      <c r="BF384" s="60" t="str">
        <f t="shared" si="351"/>
        <v>0.0481841618683814-0.0136767763589635i</v>
      </c>
      <c r="BG384" s="66">
        <f t="shared" si="352"/>
        <v>-26.005395562283752</v>
      </c>
      <c r="BH384" s="63">
        <f t="shared" si="353"/>
        <v>-15.846265285621119</v>
      </c>
      <c r="BI384" s="60" t="e">
        <f t="shared" si="357"/>
        <v>#NUM!</v>
      </c>
      <c r="BJ384" s="66" t="e">
        <f t="shared" si="354"/>
        <v>#NUM!</v>
      </c>
      <c r="BK384" s="63" t="e">
        <f t="shared" si="358"/>
        <v>#NUM!</v>
      </c>
      <c r="BL384" s="51">
        <f t="shared" si="355"/>
        <v>-26.005395562283752</v>
      </c>
      <c r="BM384" s="63">
        <f t="shared" si="356"/>
        <v>-15.846265285621119</v>
      </c>
    </row>
    <row r="385" spans="14:65" x14ac:dyDescent="0.3">
      <c r="N385" s="11">
        <v>67</v>
      </c>
      <c r="O385" s="52">
        <f t="shared" si="359"/>
        <v>46773.514128719893</v>
      </c>
      <c r="P385" s="50" t="str">
        <f t="shared" si="309"/>
        <v>23.3035714285714</v>
      </c>
      <c r="Q385" s="18" t="str">
        <f t="shared" si="310"/>
        <v>1+157.439280395748i</v>
      </c>
      <c r="R385" s="18">
        <f t="shared" si="321"/>
        <v>157.44245619124138</v>
      </c>
      <c r="S385" s="18">
        <f t="shared" si="322"/>
        <v>1.5644447571613764</v>
      </c>
      <c r="T385" s="18" t="str">
        <f t="shared" si="311"/>
        <v>1+0.29388665673873i</v>
      </c>
      <c r="U385" s="18">
        <f t="shared" si="323"/>
        <v>1.0422904427313282</v>
      </c>
      <c r="V385" s="18">
        <f t="shared" si="324"/>
        <v>0.28583882905497482</v>
      </c>
      <c r="W385" s="32" t="str">
        <f t="shared" si="312"/>
        <v>1-0.71838960536134i</v>
      </c>
      <c r="X385" s="18">
        <f t="shared" si="325"/>
        <v>1.2312934764268111</v>
      </c>
      <c r="Y385" s="18">
        <f t="shared" si="326"/>
        <v>-0.6229616563049114</v>
      </c>
      <c r="Z385" s="32" t="str">
        <f t="shared" si="313"/>
        <v>0.991248953504202+0.352583169255873i</v>
      </c>
      <c r="AA385" s="18">
        <f t="shared" si="327"/>
        <v>1.0520881042316235</v>
      </c>
      <c r="AB385" s="18">
        <f t="shared" si="328"/>
        <v>0.34174006114837219</v>
      </c>
      <c r="AC385" s="68" t="str">
        <f t="shared" si="329"/>
        <v>-0.112474417427498-0.141237431314457i</v>
      </c>
      <c r="AD385" s="66">
        <f t="shared" si="330"/>
        <v>-14.868022956050213</v>
      </c>
      <c r="AE385" s="63">
        <f t="shared" si="331"/>
        <v>-128.53206023999951</v>
      </c>
      <c r="AF385" s="51" t="e">
        <f t="shared" si="332"/>
        <v>#NUM!</v>
      </c>
      <c r="AG385" s="51" t="str">
        <f t="shared" si="314"/>
        <v>1-220.414992554048i</v>
      </c>
      <c r="AH385" s="51">
        <f t="shared" si="333"/>
        <v>220.41726099060628</v>
      </c>
      <c r="AI385" s="51">
        <f t="shared" si="334"/>
        <v>-1.5662594614603103</v>
      </c>
      <c r="AJ385" s="51" t="str">
        <f t="shared" si="315"/>
        <v>1+0.29388665673873i</v>
      </c>
      <c r="AK385" s="51">
        <f t="shared" si="335"/>
        <v>1.0422904427313282</v>
      </c>
      <c r="AL385" s="51">
        <f t="shared" si="336"/>
        <v>0.28583882905497482</v>
      </c>
      <c r="AM385" s="51" t="e">
        <f t="shared" si="316"/>
        <v>#NUM!</v>
      </c>
      <c r="AN385" s="51" t="e">
        <f t="shared" si="337"/>
        <v>#NUM!</v>
      </c>
      <c r="AO385" s="51" t="e">
        <f t="shared" si="338"/>
        <v>#NUM!</v>
      </c>
      <c r="AP385" s="60" t="e">
        <f t="shared" si="339"/>
        <v>#NUM!</v>
      </c>
      <c r="AQ385" s="51" t="e">
        <f t="shared" si="340"/>
        <v>#NUM!</v>
      </c>
      <c r="AR385" s="63" t="e">
        <f t="shared" si="341"/>
        <v>#NUM!</v>
      </c>
      <c r="AS385" s="32" t="str">
        <f t="shared" si="317"/>
        <v>-0.000170731707317073</v>
      </c>
      <c r="AT385" s="32" t="str">
        <f t="shared" si="318"/>
        <v>0.0111676929560717i</v>
      </c>
      <c r="AU385" s="32">
        <f t="shared" si="342"/>
        <v>1.1167692956071699E-2</v>
      </c>
      <c r="AV385" s="32">
        <f t="shared" si="343"/>
        <v>1.5707963267948966</v>
      </c>
      <c r="AW385" s="32" t="str">
        <f t="shared" si="319"/>
        <v>1+2.37769773020408i</v>
      </c>
      <c r="AX385" s="32">
        <f t="shared" si="344"/>
        <v>2.5794275520389465</v>
      </c>
      <c r="AY385" s="32">
        <f t="shared" si="345"/>
        <v>1.1726797359538519</v>
      </c>
      <c r="AZ385" s="32" t="str">
        <f t="shared" si="320"/>
        <v>1+45.1762568738776i</v>
      </c>
      <c r="BA385" s="32">
        <f t="shared" si="346"/>
        <v>45.187323279151784</v>
      </c>
      <c r="BB385" s="32">
        <f t="shared" si="347"/>
        <v>1.5486644196807553</v>
      </c>
      <c r="BC385" s="60" t="str">
        <f t="shared" si="348"/>
        <v>-0.0983406779120002+0.249112408216575i</v>
      </c>
      <c r="BD385" s="51">
        <f t="shared" si="349"/>
        <v>-11.443119998428571</v>
      </c>
      <c r="BE385" s="63">
        <f t="shared" si="350"/>
        <v>111.54233553911267</v>
      </c>
      <c r="BF385" s="60" t="str">
        <f t="shared" si="351"/>
        <v>0.0462448071026449-0.0141293882461071i</v>
      </c>
      <c r="BG385" s="66">
        <f t="shared" si="352"/>
        <v>-26.311142954478782</v>
      </c>
      <c r="BH385" s="63">
        <f t="shared" si="353"/>
        <v>-16.989724700886892</v>
      </c>
      <c r="BI385" s="60" t="e">
        <f t="shared" si="357"/>
        <v>#NUM!</v>
      </c>
      <c r="BJ385" s="66" t="e">
        <f t="shared" si="354"/>
        <v>#NUM!</v>
      </c>
      <c r="BK385" s="63" t="e">
        <f t="shared" si="358"/>
        <v>#NUM!</v>
      </c>
      <c r="BL385" s="51">
        <f t="shared" si="355"/>
        <v>-26.311142954478782</v>
      </c>
      <c r="BM385" s="63">
        <f t="shared" si="356"/>
        <v>-16.989724700886892</v>
      </c>
    </row>
    <row r="386" spans="14:65" x14ac:dyDescent="0.3">
      <c r="N386" s="11">
        <v>68</v>
      </c>
      <c r="O386" s="52">
        <f t="shared" si="359"/>
        <v>47863.009232263823</v>
      </c>
      <c r="P386" s="50" t="str">
        <f t="shared" si="309"/>
        <v>23.3035714285714</v>
      </c>
      <c r="Q386" s="18" t="str">
        <f t="shared" si="310"/>
        <v>1+161.106512338693i</v>
      </c>
      <c r="R386" s="18">
        <f t="shared" si="321"/>
        <v>161.10961584566402</v>
      </c>
      <c r="S386" s="18">
        <f t="shared" si="322"/>
        <v>1.5645893327808587</v>
      </c>
      <c r="T386" s="18" t="str">
        <f t="shared" si="311"/>
        <v>1+0.300732156365561i</v>
      </c>
      <c r="U386" s="18">
        <f t="shared" si="323"/>
        <v>1.0442412699526293</v>
      </c>
      <c r="V386" s="18">
        <f t="shared" si="324"/>
        <v>0.29212836213633675</v>
      </c>
      <c r="W386" s="32" t="str">
        <f t="shared" si="312"/>
        <v>1-0.735123048893594i</v>
      </c>
      <c r="X386" s="18">
        <f t="shared" si="325"/>
        <v>1.241130894392132</v>
      </c>
      <c r="Y386" s="18">
        <f t="shared" si="326"/>
        <v>-0.63391167439384777</v>
      </c>
      <c r="Z386" s="32" t="str">
        <f t="shared" si="313"/>
        <v>0.990836529388929+0.360795886295673i</v>
      </c>
      <c r="AA386" s="18">
        <f t="shared" si="327"/>
        <v>1.0544812466513467</v>
      </c>
      <c r="AB386" s="18">
        <f t="shared" si="328"/>
        <v>0.34920921963283186</v>
      </c>
      <c r="AC386" s="68" t="str">
        <f t="shared" si="329"/>
        <v>-0.112446483468874-0.137699607641094i</v>
      </c>
      <c r="AD386" s="66">
        <f t="shared" si="330"/>
        <v>-15.002387969363383</v>
      </c>
      <c r="AE386" s="63">
        <f t="shared" si="331"/>
        <v>-129.23532119190818</v>
      </c>
      <c r="AF386" s="51" t="e">
        <f t="shared" si="332"/>
        <v>#NUM!</v>
      </c>
      <c r="AG386" s="51" t="str">
        <f t="shared" si="314"/>
        <v>1-225.549117274171i</v>
      </c>
      <c r="AH386" s="51">
        <f t="shared" si="333"/>
        <v>225.55133407532256</v>
      </c>
      <c r="AI386" s="51">
        <f t="shared" si="334"/>
        <v>-1.5663627317543944</v>
      </c>
      <c r="AJ386" s="51" t="str">
        <f t="shared" si="315"/>
        <v>1+0.300732156365561i</v>
      </c>
      <c r="AK386" s="51">
        <f t="shared" si="335"/>
        <v>1.0442412699526293</v>
      </c>
      <c r="AL386" s="51">
        <f t="shared" si="336"/>
        <v>0.29212836213633675</v>
      </c>
      <c r="AM386" s="51" t="e">
        <f t="shared" si="316"/>
        <v>#NUM!</v>
      </c>
      <c r="AN386" s="51" t="e">
        <f t="shared" si="337"/>
        <v>#NUM!</v>
      </c>
      <c r="AO386" s="51" t="e">
        <f t="shared" si="338"/>
        <v>#NUM!</v>
      </c>
      <c r="AP386" s="60" t="e">
        <f t="shared" si="339"/>
        <v>#NUM!</v>
      </c>
      <c r="AQ386" s="51" t="e">
        <f t="shared" si="340"/>
        <v>#NUM!</v>
      </c>
      <c r="AR386" s="63" t="e">
        <f t="shared" si="341"/>
        <v>#NUM!</v>
      </c>
      <c r="AS386" s="32" t="str">
        <f t="shared" si="317"/>
        <v>-0.000170731707317073</v>
      </c>
      <c r="AT386" s="32" t="str">
        <f t="shared" si="318"/>
        <v>0.0114278219418913i</v>
      </c>
      <c r="AU386" s="32">
        <f t="shared" si="342"/>
        <v>1.1427821941891301E-2</v>
      </c>
      <c r="AV386" s="32">
        <f t="shared" si="343"/>
        <v>1.5707963267948966</v>
      </c>
      <c r="AW386" s="32" t="str">
        <f t="shared" si="319"/>
        <v>1+2.43308142507968i</v>
      </c>
      <c r="AX386" s="32">
        <f t="shared" si="344"/>
        <v>2.6305674713011573</v>
      </c>
      <c r="AY386" s="32">
        <f t="shared" si="345"/>
        <v>1.1808420625574985</v>
      </c>
      <c r="AZ386" s="32" t="str">
        <f t="shared" si="320"/>
        <v>1+46.2285470765141i</v>
      </c>
      <c r="BA386" s="32">
        <f t="shared" si="346"/>
        <v>46.239361639251463</v>
      </c>
      <c r="BB386" s="32">
        <f t="shared" si="347"/>
        <v>1.5491680444707705</v>
      </c>
      <c r="BC386" s="60" t="str">
        <f t="shared" si="348"/>
        <v>-0.0945542329079708+0.24499815190802i</v>
      </c>
      <c r="BD386" s="51">
        <f t="shared" si="349"/>
        <v>-11.613737947684054</v>
      </c>
      <c r="BE386" s="63">
        <f t="shared" si="350"/>
        <v>111.10352424864243</v>
      </c>
      <c r="BF386" s="60" t="str">
        <f t="shared" si="351"/>
        <v>0.0443684403781257-0.0145290998661977i</v>
      </c>
      <c r="BG386" s="66">
        <f t="shared" si="352"/>
        <v>-26.616125917047434</v>
      </c>
      <c r="BH386" s="63">
        <f t="shared" si="353"/>
        <v>-18.131796943265819</v>
      </c>
      <c r="BI386" s="60" t="e">
        <f t="shared" si="357"/>
        <v>#NUM!</v>
      </c>
      <c r="BJ386" s="66" t="e">
        <f t="shared" si="354"/>
        <v>#NUM!</v>
      </c>
      <c r="BK386" s="63" t="e">
        <f t="shared" si="358"/>
        <v>#NUM!</v>
      </c>
      <c r="BL386" s="51">
        <f t="shared" si="355"/>
        <v>-26.616125917047434</v>
      </c>
      <c r="BM386" s="63">
        <f t="shared" si="356"/>
        <v>-18.131796943265819</v>
      </c>
    </row>
    <row r="387" spans="14:65" x14ac:dyDescent="0.3">
      <c r="N387" s="11">
        <v>69</v>
      </c>
      <c r="O387" s="52">
        <f t="shared" si="359"/>
        <v>48977.881936844598</v>
      </c>
      <c r="P387" s="50" t="str">
        <f t="shared" si="309"/>
        <v>23.3035714285714</v>
      </c>
      <c r="Q387" s="18" t="str">
        <f t="shared" si="310"/>
        <v>1+164.859165086977i</v>
      </c>
      <c r="R387" s="18">
        <f t="shared" si="321"/>
        <v>164.86219795081931</v>
      </c>
      <c r="S387" s="18">
        <f t="shared" si="322"/>
        <v>1.5647306177081937</v>
      </c>
      <c r="T387" s="18" t="str">
        <f t="shared" si="311"/>
        <v>1+0.307737108162358i</v>
      </c>
      <c r="U387" s="18">
        <f t="shared" si="323"/>
        <v>1.0462801382708795</v>
      </c>
      <c r="V387" s="18">
        <f t="shared" si="324"/>
        <v>0.29853985690560442</v>
      </c>
      <c r="W387" s="32" t="str">
        <f t="shared" si="312"/>
        <v>1-0.752246264396875i</v>
      </c>
      <c r="X387" s="18">
        <f t="shared" si="325"/>
        <v>1.2513490489463974</v>
      </c>
      <c r="Y387" s="18">
        <f t="shared" si="326"/>
        <v>-0.64493716864937845</v>
      </c>
      <c r="Z387" s="32" t="str">
        <f t="shared" si="313"/>
        <v>0.990404668323922+0.369199902090085i</v>
      </c>
      <c r="AA387" s="18">
        <f t="shared" si="327"/>
        <v>1.0569815394514448</v>
      </c>
      <c r="AB387" s="18">
        <f t="shared" si="328"/>
        <v>0.35682015717754684</v>
      </c>
      <c r="AC387" s="68" t="str">
        <f t="shared" si="329"/>
        <v>-0.112413960132448-0.134236668021588i</v>
      </c>
      <c r="AD387" s="66">
        <f t="shared" si="330"/>
        <v>-15.134791084030812</v>
      </c>
      <c r="AE387" s="63">
        <f t="shared" si="331"/>
        <v>-129.94385351864162</v>
      </c>
      <c r="AF387" s="51" t="e">
        <f t="shared" si="332"/>
        <v>#NUM!</v>
      </c>
      <c r="AG387" s="51" t="str">
        <f t="shared" si="314"/>
        <v>1-230.802831121769i</v>
      </c>
      <c r="AH387" s="51">
        <f t="shared" si="333"/>
        <v>230.80499746284485</v>
      </c>
      <c r="AI387" s="51">
        <f t="shared" si="334"/>
        <v>-1.5664636514209713</v>
      </c>
      <c r="AJ387" s="51" t="str">
        <f t="shared" si="315"/>
        <v>1+0.307737108162358i</v>
      </c>
      <c r="AK387" s="51">
        <f t="shared" si="335"/>
        <v>1.0462801382708795</v>
      </c>
      <c r="AL387" s="51">
        <f t="shared" si="336"/>
        <v>0.29853985690560442</v>
      </c>
      <c r="AM387" s="51" t="e">
        <f t="shared" si="316"/>
        <v>#NUM!</v>
      </c>
      <c r="AN387" s="51" t="e">
        <f t="shared" si="337"/>
        <v>#NUM!</v>
      </c>
      <c r="AO387" s="51" t="e">
        <f t="shared" si="338"/>
        <v>#NUM!</v>
      </c>
      <c r="AP387" s="60" t="e">
        <f t="shared" si="339"/>
        <v>#NUM!</v>
      </c>
      <c r="AQ387" s="51" t="e">
        <f t="shared" si="340"/>
        <v>#NUM!</v>
      </c>
      <c r="AR387" s="63" t="e">
        <f t="shared" si="341"/>
        <v>#NUM!</v>
      </c>
      <c r="AS387" s="32" t="str">
        <f t="shared" si="317"/>
        <v>-0.000170731707317073</v>
      </c>
      <c r="AT387" s="32" t="str">
        <f t="shared" si="318"/>
        <v>0.0116940101101696i</v>
      </c>
      <c r="AU387" s="32">
        <f t="shared" si="342"/>
        <v>1.16940101101696E-2</v>
      </c>
      <c r="AV387" s="32">
        <f t="shared" si="343"/>
        <v>1.5707963267948966</v>
      </c>
      <c r="AW387" s="32" t="str">
        <f t="shared" si="319"/>
        <v>1+2.48975517193251i</v>
      </c>
      <c r="AX387" s="32">
        <f t="shared" si="344"/>
        <v>2.6830730173002526</v>
      </c>
      <c r="AY387" s="32">
        <f t="shared" si="345"/>
        <v>1.1888718612161273</v>
      </c>
      <c r="AZ387" s="32" t="str">
        <f t="shared" si="320"/>
        <v>1+47.3053482667177i</v>
      </c>
      <c r="BA387" s="32">
        <f t="shared" si="346"/>
        <v>47.315916715577337</v>
      </c>
      <c r="BB387" s="32">
        <f t="shared" si="347"/>
        <v>1.5496602159644577</v>
      </c>
      <c r="BC387" s="60" t="str">
        <f t="shared" si="348"/>
        <v>-0.090889744614199+0.240893139872261i</v>
      </c>
      <c r="BD387" s="51">
        <f t="shared" si="349"/>
        <v>-11.785490294832332</v>
      </c>
      <c r="BE387" s="63">
        <f t="shared" si="350"/>
        <v>110.6716500245481</v>
      </c>
      <c r="BF387" s="60" t="str">
        <f t="shared" si="351"/>
        <v>0.0425539685732196-0.0148790153474374i</v>
      </c>
      <c r="BG387" s="66">
        <f t="shared" si="352"/>
        <v>-26.920281378863148</v>
      </c>
      <c r="BH387" s="63">
        <f t="shared" si="353"/>
        <v>-19.272203494093507</v>
      </c>
      <c r="BI387" s="60" t="e">
        <f t="shared" si="357"/>
        <v>#NUM!</v>
      </c>
      <c r="BJ387" s="66" t="e">
        <f t="shared" si="354"/>
        <v>#NUM!</v>
      </c>
      <c r="BK387" s="63" t="e">
        <f t="shared" si="358"/>
        <v>#NUM!</v>
      </c>
      <c r="BL387" s="51">
        <f t="shared" si="355"/>
        <v>-26.920281378863148</v>
      </c>
      <c r="BM387" s="63">
        <f t="shared" si="356"/>
        <v>-19.272203494093507</v>
      </c>
    </row>
    <row r="388" spans="14:65" x14ac:dyDescent="0.3">
      <c r="N388" s="11">
        <v>70</v>
      </c>
      <c r="O388" s="52">
        <f t="shared" si="359"/>
        <v>50118.723362727294</v>
      </c>
      <c r="P388" s="50" t="str">
        <f t="shared" si="309"/>
        <v>23.3035714285714</v>
      </c>
      <c r="Q388" s="18" t="str">
        <f t="shared" si="310"/>
        <v>1+168.69922834676i</v>
      </c>
      <c r="R388" s="18">
        <f t="shared" si="321"/>
        <v>168.70219217541984</v>
      </c>
      <c r="S388" s="18">
        <f t="shared" si="322"/>
        <v>1.5648686868319448</v>
      </c>
      <c r="T388" s="18" t="str">
        <f t="shared" si="311"/>
        <v>1+0.314905226247286i</v>
      </c>
      <c r="U388" s="18">
        <f t="shared" si="323"/>
        <v>1.048410845765082</v>
      </c>
      <c r="V388" s="18">
        <f t="shared" si="324"/>
        <v>0.30507460357239852</v>
      </c>
      <c r="W388" s="32" t="str">
        <f t="shared" si="312"/>
        <v>1-0.769768330826699i</v>
      </c>
      <c r="X388" s="18">
        <f t="shared" si="325"/>
        <v>1.2619600957018102</v>
      </c>
      <c r="Y388" s="18">
        <f t="shared" si="326"/>
        <v>-0.65603326308607834</v>
      </c>
      <c r="Z388" s="32" t="str">
        <f t="shared" si="313"/>
        <v>0.989952454273962+0.377799672559525i</v>
      </c>
      <c r="AA388" s="18">
        <f t="shared" si="327"/>
        <v>1.0595935325912127</v>
      </c>
      <c r="AB388" s="18">
        <f t="shared" si="328"/>
        <v>0.36457419612290137</v>
      </c>
      <c r="AC388" s="68" t="str">
        <f t="shared" si="329"/>
        <v>-0.112376859704093-0.130846885304182i</v>
      </c>
      <c r="AD388" s="66">
        <f t="shared" si="330"/>
        <v>-15.265208255437695</v>
      </c>
      <c r="AE388" s="63">
        <f t="shared" si="331"/>
        <v>-130.65738397856961</v>
      </c>
      <c r="AF388" s="51" t="e">
        <f t="shared" si="332"/>
        <v>#NUM!</v>
      </c>
      <c r="AG388" s="51" t="str">
        <f t="shared" si="314"/>
        <v>1-236.178919685465i</v>
      </c>
      <c r="AH388" s="51">
        <f t="shared" si="333"/>
        <v>236.18103671504474</v>
      </c>
      <c r="AI388" s="51">
        <f t="shared" si="334"/>
        <v>-1.5665622739607565</v>
      </c>
      <c r="AJ388" s="51" t="str">
        <f t="shared" si="315"/>
        <v>1+0.314905226247286i</v>
      </c>
      <c r="AK388" s="51">
        <f t="shared" si="335"/>
        <v>1.048410845765082</v>
      </c>
      <c r="AL388" s="51">
        <f t="shared" si="336"/>
        <v>0.30507460357239852</v>
      </c>
      <c r="AM388" s="51" t="e">
        <f t="shared" si="316"/>
        <v>#NUM!</v>
      </c>
      <c r="AN388" s="51" t="e">
        <f t="shared" si="337"/>
        <v>#NUM!</v>
      </c>
      <c r="AO388" s="51" t="e">
        <f t="shared" si="338"/>
        <v>#NUM!</v>
      </c>
      <c r="AP388" s="60" t="e">
        <f t="shared" si="339"/>
        <v>#NUM!</v>
      </c>
      <c r="AQ388" s="51" t="e">
        <f t="shared" si="340"/>
        <v>#NUM!</v>
      </c>
      <c r="AR388" s="63" t="e">
        <f t="shared" si="341"/>
        <v>#NUM!</v>
      </c>
      <c r="AS388" s="32" t="str">
        <f t="shared" si="317"/>
        <v>-0.000170731707317073</v>
      </c>
      <c r="AT388" s="32" t="str">
        <f t="shared" si="318"/>
        <v>0.0119663985973969i</v>
      </c>
      <c r="AU388" s="32">
        <f t="shared" si="342"/>
        <v>1.1966398597396901E-2</v>
      </c>
      <c r="AV388" s="32">
        <f t="shared" si="343"/>
        <v>1.5707963267948966</v>
      </c>
      <c r="AW388" s="32" t="str">
        <f t="shared" si="319"/>
        <v>1+2.5477490199333i</v>
      </c>
      <c r="AX388" s="32">
        <f t="shared" si="344"/>
        <v>2.7369737062257449</v>
      </c>
      <c r="AY388" s="32">
        <f t="shared" si="345"/>
        <v>1.1967692464503523</v>
      </c>
      <c r="AZ388" s="32" t="str">
        <f t="shared" si="320"/>
        <v>1+48.4072313787328i</v>
      </c>
      <c r="BA388" s="32">
        <f t="shared" si="346"/>
        <v>48.417559312238922</v>
      </c>
      <c r="BB388" s="32">
        <f t="shared" si="347"/>
        <v>1.5501411941633505</v>
      </c>
      <c r="BC388" s="60" t="str">
        <f t="shared" si="348"/>
        <v>-0.087345114039789+0.236801021895879i</v>
      </c>
      <c r="BD388" s="51">
        <f t="shared" si="349"/>
        <v>-11.95834027304304</v>
      </c>
      <c r="BE388" s="63">
        <f t="shared" si="350"/>
        <v>110.24672120227241</v>
      </c>
      <c r="BF388" s="60" t="str">
        <f t="shared" si="351"/>
        <v>0.0408002457782106-0.0151821190967341i</v>
      </c>
      <c r="BG388" s="66">
        <f t="shared" si="352"/>
        <v>-27.223548528480723</v>
      </c>
      <c r="BH388" s="63">
        <f t="shared" si="353"/>
        <v>-20.410662776297187</v>
      </c>
      <c r="BI388" s="60" t="e">
        <f t="shared" si="357"/>
        <v>#NUM!</v>
      </c>
      <c r="BJ388" s="66" t="e">
        <f t="shared" si="354"/>
        <v>#NUM!</v>
      </c>
      <c r="BK388" s="63" t="e">
        <f t="shared" si="358"/>
        <v>#NUM!</v>
      </c>
      <c r="BL388" s="51">
        <f t="shared" si="355"/>
        <v>-27.223548528480723</v>
      </c>
      <c r="BM388" s="63">
        <f t="shared" si="356"/>
        <v>-20.410662776297187</v>
      </c>
    </row>
    <row r="389" spans="14:65" x14ac:dyDescent="0.3">
      <c r="N389" s="11">
        <v>71</v>
      </c>
      <c r="O389" s="52">
        <f t="shared" si="359"/>
        <v>51286.138399136544</v>
      </c>
      <c r="P389" s="50" t="str">
        <f t="shared" si="309"/>
        <v>23.3035714285714</v>
      </c>
      <c r="Q389" s="18" t="str">
        <f t="shared" si="310"/>
        <v>1+172.628738170411i</v>
      </c>
      <c r="R389" s="18">
        <f t="shared" si="321"/>
        <v>172.63163453523899</v>
      </c>
      <c r="S389" s="18">
        <f t="shared" si="322"/>
        <v>1.565003613337121</v>
      </c>
      <c r="T389" s="18" t="str">
        <f t="shared" si="311"/>
        <v>1+0.322240311251434i</v>
      </c>
      <c r="U389" s="18">
        <f t="shared" si="323"/>
        <v>1.0506373390449346</v>
      </c>
      <c r="V389" s="18">
        <f t="shared" si="324"/>
        <v>0.31173383371855518</v>
      </c>
      <c r="W389" s="32" t="str">
        <f t="shared" si="312"/>
        <v>1-0.787698538614617i</v>
      </c>
      <c r="X389" s="18">
        <f t="shared" si="325"/>
        <v>1.2729764285860141</v>
      </c>
      <c r="Y389" s="18">
        <f t="shared" si="326"/>
        <v>-0.66719491194779079</v>
      </c>
      <c r="Z389" s="32" t="str">
        <f t="shared" si="313"/>
        <v>0.989478928032418+0.386599757416127i</v>
      </c>
      <c r="AA389" s="18">
        <f t="shared" si="327"/>
        <v>1.06232194811855</v>
      </c>
      <c r="AB389" s="18">
        <f t="shared" si="328"/>
        <v>0.37247258219989993</v>
      </c>
      <c r="AC389" s="68" t="str">
        <f t="shared" si="329"/>
        <v>-0.112335190910042-0.127528575843311i</v>
      </c>
      <c r="AD389" s="66">
        <f t="shared" si="330"/>
        <v>-15.39361717879833</v>
      </c>
      <c r="AE389" s="63">
        <f t="shared" si="331"/>
        <v>-131.37562847503958</v>
      </c>
      <c r="AF389" s="51" t="e">
        <f t="shared" si="332"/>
        <v>#NUM!</v>
      </c>
      <c r="AG389" s="51" t="str">
        <f t="shared" si="314"/>
        <v>1-241.680233438576i</v>
      </c>
      <c r="AH389" s="51">
        <f t="shared" si="333"/>
        <v>241.68230227909655</v>
      </c>
      <c r="AI389" s="51">
        <f t="shared" si="334"/>
        <v>-1.5666586516570478</v>
      </c>
      <c r="AJ389" s="51" t="str">
        <f t="shared" si="315"/>
        <v>1+0.322240311251434i</v>
      </c>
      <c r="AK389" s="51">
        <f t="shared" si="335"/>
        <v>1.0506373390449346</v>
      </c>
      <c r="AL389" s="51">
        <f t="shared" si="336"/>
        <v>0.31173383371855518</v>
      </c>
      <c r="AM389" s="51" t="e">
        <f t="shared" si="316"/>
        <v>#NUM!</v>
      </c>
      <c r="AN389" s="51" t="e">
        <f t="shared" si="337"/>
        <v>#NUM!</v>
      </c>
      <c r="AO389" s="51" t="e">
        <f t="shared" si="338"/>
        <v>#NUM!</v>
      </c>
      <c r="AP389" s="60" t="e">
        <f t="shared" si="339"/>
        <v>#NUM!</v>
      </c>
      <c r="AQ389" s="51" t="e">
        <f t="shared" si="340"/>
        <v>#NUM!</v>
      </c>
      <c r="AR389" s="63" t="e">
        <f t="shared" si="341"/>
        <v>#NUM!</v>
      </c>
      <c r="AS389" s="32" t="str">
        <f t="shared" si="317"/>
        <v>-0.000170731707317073</v>
      </c>
      <c r="AT389" s="32" t="str">
        <f t="shared" si="318"/>
        <v>0.0122451318275545i</v>
      </c>
      <c r="AU389" s="32">
        <f t="shared" si="342"/>
        <v>1.22451318275545E-2</v>
      </c>
      <c r="AV389" s="32">
        <f t="shared" si="343"/>
        <v>1.5707963267948966</v>
      </c>
      <c r="AW389" s="32" t="str">
        <f t="shared" si="319"/>
        <v>1+2.60709371818791i</v>
      </c>
      <c r="AX389" s="32">
        <f t="shared" si="344"/>
        <v>2.7922997073048696</v>
      </c>
      <c r="AY389" s="32">
        <f t="shared" si="345"/>
        <v>1.2045344641273006</v>
      </c>
      <c r="AZ389" s="32" t="str">
        <f t="shared" si="320"/>
        <v>1+49.5347806455705i</v>
      </c>
      <c r="BA389" s="32">
        <f t="shared" si="346"/>
        <v>49.544873535056936</v>
      </c>
      <c r="BB389" s="32">
        <f t="shared" si="347"/>
        <v>1.5506112331977897</v>
      </c>
      <c r="BC389" s="60" t="str">
        <f t="shared" si="348"/>
        <v>-0.0839181314262348+0.232725256416831i</v>
      </c>
      <c r="BD389" s="51">
        <f t="shared" si="349"/>
        <v>-12.132251765668542</v>
      </c>
      <c r="BE389" s="63">
        <f t="shared" si="350"/>
        <v>109.82873825526255</v>
      </c>
      <c r="BF389" s="60" t="str">
        <f t="shared" si="351"/>
        <v>0.0391060798281879-0.0154412763209537i</v>
      </c>
      <c r="BG389" s="66">
        <f t="shared" si="352"/>
        <v>-27.525868944466872</v>
      </c>
      <c r="BH389" s="63">
        <f t="shared" si="353"/>
        <v>-21.546890219777069</v>
      </c>
      <c r="BI389" s="60" t="e">
        <f t="shared" si="357"/>
        <v>#NUM!</v>
      </c>
      <c r="BJ389" s="66" t="e">
        <f t="shared" si="354"/>
        <v>#NUM!</v>
      </c>
      <c r="BK389" s="63" t="e">
        <f t="shared" si="358"/>
        <v>#NUM!</v>
      </c>
      <c r="BL389" s="51">
        <f t="shared" si="355"/>
        <v>-27.525868944466872</v>
      </c>
      <c r="BM389" s="63">
        <f t="shared" si="356"/>
        <v>-21.546890219777069</v>
      </c>
    </row>
    <row r="390" spans="14:65" x14ac:dyDescent="0.3">
      <c r="N390" s="11">
        <v>72</v>
      </c>
      <c r="O390" s="52">
        <f t="shared" si="359"/>
        <v>52480.746024977314</v>
      </c>
      <c r="P390" s="50" t="str">
        <f t="shared" si="309"/>
        <v>23.3035714285714</v>
      </c>
      <c r="Q390" s="18" t="str">
        <f t="shared" si="310"/>
        <v>1+176.64977803605i</v>
      </c>
      <c r="R390" s="18">
        <f t="shared" si="321"/>
        <v>176.65260847263406</v>
      </c>
      <c r="S390" s="18">
        <f t="shared" si="322"/>
        <v>1.5651354687438788</v>
      </c>
      <c r="T390" s="18" t="str">
        <f t="shared" si="311"/>
        <v>1+0.329746252333961i</v>
      </c>
      <c r="U390" s="18">
        <f t="shared" si="323"/>
        <v>1.0529637177644311</v>
      </c>
      <c r="V390" s="18">
        <f t="shared" si="324"/>
        <v>0.31851871487606248</v>
      </c>
      <c r="W390" s="32" t="str">
        <f t="shared" si="312"/>
        <v>1-0.806046394594127i</v>
      </c>
      <c r="X390" s="18">
        <f t="shared" si="325"/>
        <v>1.2844106781859885</v>
      </c>
      <c r="Y390" s="18">
        <f t="shared" si="326"/>
        <v>-0.67841690946799138</v>
      </c>
      <c r="Z390" s="32" t="str">
        <f t="shared" si="313"/>
        <v>0.988983085186647+0.395604822581361i</v>
      </c>
      <c r="AA390" s="18">
        <f t="shared" si="327"/>
        <v>1.0651716849573729</v>
      </c>
      <c r="AB390" s="18">
        <f t="shared" si="328"/>
        <v>0.38051647844955522</v>
      </c>
      <c r="AC390" s="68" t="str">
        <f t="shared" si="329"/>
        <v>-0.112288959324282-0.124280098699235i</v>
      </c>
      <c r="AD390" s="66">
        <f t="shared" si="330"/>
        <v>-15.519997377715786</v>
      </c>
      <c r="AE390" s="63">
        <f t="shared" si="331"/>
        <v>-132.09829258008989</v>
      </c>
      <c r="AF390" s="51" t="e">
        <f t="shared" si="332"/>
        <v>#NUM!</v>
      </c>
      <c r="AG390" s="51" t="str">
        <f t="shared" si="314"/>
        <v>1-247.309689250471i</v>
      </c>
      <c r="AH390" s="51">
        <f t="shared" si="333"/>
        <v>247.31171099882133</v>
      </c>
      <c r="AI390" s="51">
        <f t="shared" si="334"/>
        <v>-1.5667528356034095</v>
      </c>
      <c r="AJ390" s="51" t="str">
        <f t="shared" si="315"/>
        <v>1+0.329746252333961i</v>
      </c>
      <c r="AK390" s="51">
        <f t="shared" si="335"/>
        <v>1.0529637177644311</v>
      </c>
      <c r="AL390" s="51">
        <f t="shared" si="336"/>
        <v>0.31851871487606248</v>
      </c>
      <c r="AM390" s="51" t="e">
        <f t="shared" si="316"/>
        <v>#NUM!</v>
      </c>
      <c r="AN390" s="51" t="e">
        <f t="shared" si="337"/>
        <v>#NUM!</v>
      </c>
      <c r="AO390" s="51" t="e">
        <f t="shared" si="338"/>
        <v>#NUM!</v>
      </c>
      <c r="AP390" s="60" t="e">
        <f t="shared" si="339"/>
        <v>#NUM!</v>
      </c>
      <c r="AQ390" s="51" t="e">
        <f t="shared" si="340"/>
        <v>#NUM!</v>
      </c>
      <c r="AR390" s="63" t="e">
        <f t="shared" si="341"/>
        <v>#NUM!</v>
      </c>
      <c r="AS390" s="32" t="str">
        <f t="shared" si="317"/>
        <v>-0.000170731707317073</v>
      </c>
      <c r="AT390" s="32" t="str">
        <f t="shared" si="318"/>
        <v>0.0125303575886905i</v>
      </c>
      <c r="AU390" s="32">
        <f t="shared" si="342"/>
        <v>1.25303575886905E-2</v>
      </c>
      <c r="AV390" s="32">
        <f t="shared" si="343"/>
        <v>1.5707963267948966</v>
      </c>
      <c r="AW390" s="32" t="str">
        <f t="shared" si="319"/>
        <v>1+2.66782073204086i</v>
      </c>
      <c r="AX390" s="32">
        <f t="shared" si="344"/>
        <v>2.8490818623386422</v>
      </c>
      <c r="AY390" s="32">
        <f t="shared" si="345"/>
        <v>1.2121678845918038</v>
      </c>
      <c r="AZ390" s="32" t="str">
        <f t="shared" si="320"/>
        <v>1+50.6885939087765i</v>
      </c>
      <c r="BA390" s="32">
        <f t="shared" si="346"/>
        <v>50.698457101265454</v>
      </c>
      <c r="BB390" s="32">
        <f t="shared" si="347"/>
        <v>1.5510705814574259</v>
      </c>
      <c r="BC390" s="60" t="str">
        <f t="shared" si="348"/>
        <v>-0.0806064900842543+0.228669111115007i</v>
      </c>
      <c r="BD390" s="51">
        <f t="shared" si="349"/>
        <v>-12.307189338363356</v>
      </c>
      <c r="BE390" s="63">
        <f t="shared" si="350"/>
        <v>109.41769419600165</v>
      </c>
      <c r="BF390" s="60" t="str">
        <f t="shared" si="351"/>
        <v>0.0374702385851834-0.0156592339732427i</v>
      </c>
      <c r="BG390" s="66">
        <f t="shared" si="352"/>
        <v>-27.827186716079137</v>
      </c>
      <c r="BH390" s="63">
        <f t="shared" si="353"/>
        <v>-22.680598384088203</v>
      </c>
      <c r="BI390" s="60" t="e">
        <f t="shared" si="357"/>
        <v>#NUM!</v>
      </c>
      <c r="BJ390" s="66" t="e">
        <f t="shared" si="354"/>
        <v>#NUM!</v>
      </c>
      <c r="BK390" s="63" t="e">
        <f t="shared" si="358"/>
        <v>#NUM!</v>
      </c>
      <c r="BL390" s="51">
        <f t="shared" si="355"/>
        <v>-27.827186716079137</v>
      </c>
      <c r="BM390" s="63">
        <f t="shared" si="356"/>
        <v>-22.680598384088203</v>
      </c>
    </row>
    <row r="391" spans="14:65" x14ac:dyDescent="0.3">
      <c r="N391" s="11">
        <v>73</v>
      </c>
      <c r="O391" s="52">
        <f t="shared" si="359"/>
        <v>53703.179637025423</v>
      </c>
      <c r="P391" s="50" t="str">
        <f t="shared" si="309"/>
        <v>23.3035714285714</v>
      </c>
      <c r="Q391" s="18" t="str">
        <f t="shared" si="310"/>
        <v>1+180.764479952241i</v>
      </c>
      <c r="R391" s="18">
        <f t="shared" si="321"/>
        <v>180.76724596121983</v>
      </c>
      <c r="S391" s="18">
        <f t="shared" si="322"/>
        <v>1.5652643229453505</v>
      </c>
      <c r="T391" s="18" t="str">
        <f t="shared" si="311"/>
        <v>1+0.337427029244184i</v>
      </c>
      <c r="U391" s="18">
        <f t="shared" si="323"/>
        <v>1.0553942391658935</v>
      </c>
      <c r="V391" s="18">
        <f t="shared" si="324"/>
        <v>0.32543034490374056</v>
      </c>
      <c r="W391" s="32" t="str">
        <f t="shared" si="312"/>
        <v>1-0.824821627041339i</v>
      </c>
      <c r="X391" s="18">
        <f t="shared" si="325"/>
        <v>1.2962757100382316</v>
      </c>
      <c r="Y391" s="18">
        <f t="shared" si="326"/>
        <v>-0.68969390054443724</v>
      </c>
      <c r="Z391" s="32" t="str">
        <f t="shared" si="313"/>
        <v>0.988463873987493+0.404819642659979i</v>
      </c>
      <c r="AA391" s="18">
        <f t="shared" si="327"/>
        <v>1.0681478236937598</v>
      </c>
      <c r="AB391" s="18">
        <f t="shared" si="328"/>
        <v>0.38870695899235452</v>
      </c>
      <c r="AC391" s="68" t="str">
        <f t="shared" si="329"/>
        <v>-0.11223816778446-0.121099854846439i</v>
      </c>
      <c r="AD391" s="66">
        <f t="shared" si="330"/>
        <v>-15.644330286642052</v>
      </c>
      <c r="AE391" s="63">
        <f t="shared" si="331"/>
        <v>-132.8250721134381</v>
      </c>
      <c r="AF391" s="51" t="e">
        <f t="shared" si="332"/>
        <v>#NUM!</v>
      </c>
      <c r="AG391" s="51" t="str">
        <f t="shared" si="314"/>
        <v>1-253.070271933139i</v>
      </c>
      <c r="AH391" s="51">
        <f t="shared" si="333"/>
        <v>253.07224766124185</v>
      </c>
      <c r="AI391" s="51">
        <f t="shared" si="334"/>
        <v>-1.5668448757307289</v>
      </c>
      <c r="AJ391" s="51" t="str">
        <f t="shared" si="315"/>
        <v>1+0.337427029244184i</v>
      </c>
      <c r="AK391" s="51">
        <f t="shared" si="335"/>
        <v>1.0553942391658935</v>
      </c>
      <c r="AL391" s="51">
        <f t="shared" si="336"/>
        <v>0.32543034490374056</v>
      </c>
      <c r="AM391" s="51" t="e">
        <f t="shared" si="316"/>
        <v>#NUM!</v>
      </c>
      <c r="AN391" s="51" t="e">
        <f t="shared" si="337"/>
        <v>#NUM!</v>
      </c>
      <c r="AO391" s="51" t="e">
        <f t="shared" si="338"/>
        <v>#NUM!</v>
      </c>
      <c r="AP391" s="60" t="e">
        <f t="shared" si="339"/>
        <v>#NUM!</v>
      </c>
      <c r="AQ391" s="51" t="e">
        <f t="shared" si="340"/>
        <v>#NUM!</v>
      </c>
      <c r="AR391" s="63" t="e">
        <f t="shared" si="341"/>
        <v>#NUM!</v>
      </c>
      <c r="AS391" s="32" t="str">
        <f t="shared" si="317"/>
        <v>-0.000170731707317073</v>
      </c>
      <c r="AT391" s="32" t="str">
        <f t="shared" si="318"/>
        <v>0.012822227111279i</v>
      </c>
      <c r="AU391" s="32">
        <f t="shared" si="342"/>
        <v>1.2822227111279E-2</v>
      </c>
      <c r="AV391" s="32">
        <f t="shared" si="343"/>
        <v>1.5707963267948966</v>
      </c>
      <c r="AW391" s="32" t="str">
        <f t="shared" si="319"/>
        <v>1+2.72996225975873i</v>
      </c>
      <c r="AX391" s="32">
        <f t="shared" si="344"/>
        <v>2.9073517055401106</v>
      </c>
      <c r="AY391" s="32">
        <f t="shared" si="345"/>
        <v>1.2196699958366843</v>
      </c>
      <c r="AZ391" s="32" t="str">
        <f t="shared" si="320"/>
        <v>1+51.869282935416i</v>
      </c>
      <c r="BA391" s="32">
        <f t="shared" si="346"/>
        <v>51.878921656432276</v>
      </c>
      <c r="BB391" s="32">
        <f t="shared" si="347"/>
        <v>1.5515194817189588</v>
      </c>
      <c r="BC391" s="60" t="str">
        <f t="shared" si="348"/>
        <v>-0.0774077996383653+0.224635664344333i</v>
      </c>
      <c r="BD391" s="51">
        <f t="shared" si="349"/>
        <v>-12.483118267045306</v>
      </c>
      <c r="BE391" s="63">
        <f t="shared" si="350"/>
        <v>109.01357497464048</v>
      </c>
      <c r="BF391" s="60" t="str">
        <f t="shared" si="351"/>
        <v>0.0358914559490688-0.0158386220848646i</v>
      </c>
      <c r="BG391" s="66">
        <f t="shared" si="352"/>
        <v>-28.127448553687366</v>
      </c>
      <c r="BH391" s="63">
        <f t="shared" si="353"/>
        <v>-23.811497138797609</v>
      </c>
      <c r="BI391" s="60" t="e">
        <f t="shared" si="357"/>
        <v>#NUM!</v>
      </c>
      <c r="BJ391" s="66" t="e">
        <f t="shared" si="354"/>
        <v>#NUM!</v>
      </c>
      <c r="BK391" s="63" t="e">
        <f t="shared" si="358"/>
        <v>#NUM!</v>
      </c>
      <c r="BL391" s="51">
        <f t="shared" si="355"/>
        <v>-28.127448553687366</v>
      </c>
      <c r="BM391" s="63">
        <f t="shared" si="356"/>
        <v>-23.811497138797609</v>
      </c>
    </row>
    <row r="392" spans="14:65" x14ac:dyDescent="0.3">
      <c r="N392" s="11">
        <v>74</v>
      </c>
      <c r="O392" s="52">
        <f t="shared" si="359"/>
        <v>54954.087385762505</v>
      </c>
      <c r="P392" s="50" t="str">
        <f t="shared" si="309"/>
        <v>23.3035714285714</v>
      </c>
      <c r="Q392" s="18" t="str">
        <f t="shared" si="310"/>
        <v>1+184.975025588403i</v>
      </c>
      <c r="R392" s="18">
        <f t="shared" si="321"/>
        <v>184.97772863626136</v>
      </c>
      <c r="S392" s="18">
        <f t="shared" si="322"/>
        <v>1.5653902442446141</v>
      </c>
      <c r="T392" s="18" t="str">
        <f t="shared" si="311"/>
        <v>1+0.345286714431686i</v>
      </c>
      <c r="U392" s="18">
        <f t="shared" si="323"/>
        <v>1.0579333226451602</v>
      </c>
      <c r="V392" s="18">
        <f t="shared" si="324"/>
        <v>0.3324697461698124</v>
      </c>
      <c r="W392" s="32" t="str">
        <f t="shared" si="312"/>
        <v>1-0.84403419083301i</v>
      </c>
      <c r="X392" s="18">
        <f t="shared" si="325"/>
        <v>1.3085846229018334</v>
      </c>
      <c r="Y392" s="18">
        <f t="shared" si="326"/>
        <v>-0.70102039228511981</v>
      </c>
      <c r="Z392" s="32" t="str">
        <f t="shared" si="313"/>
        <v>0.987920193118392+0.414249103471554i</v>
      </c>
      <c r="AA392" s="18">
        <f t="shared" si="327"/>
        <v>1.0712556313495241</v>
      </c>
      <c r="AB392" s="18">
        <f t="shared" si="328"/>
        <v>0.39704500266472442</v>
      </c>
      <c r="AC392" s="68" t="str">
        <f t="shared" si="329"/>
        <v>-0.112182816816534-0.117986286388556i</v>
      </c>
      <c r="AD392" s="66">
        <f t="shared" si="330"/>
        <v>-15.766599326488288</v>
      </c>
      <c r="AE392" s="63">
        <f t="shared" si="331"/>
        <v>-133.55565377484535</v>
      </c>
      <c r="AF392" s="51" t="e">
        <f t="shared" si="332"/>
        <v>#NUM!</v>
      </c>
      <c r="AG392" s="51" t="str">
        <f t="shared" si="314"/>
        <v>1-258.965035823765i</v>
      </c>
      <c r="AH392" s="51">
        <f t="shared" si="333"/>
        <v>258.96696657914475</v>
      </c>
      <c r="AI392" s="51">
        <f t="shared" si="334"/>
        <v>-1.5669348208336589</v>
      </c>
      <c r="AJ392" s="51" t="str">
        <f t="shared" si="315"/>
        <v>1+0.345286714431686i</v>
      </c>
      <c r="AK392" s="51">
        <f t="shared" si="335"/>
        <v>1.0579333226451602</v>
      </c>
      <c r="AL392" s="51">
        <f t="shared" si="336"/>
        <v>0.3324697461698124</v>
      </c>
      <c r="AM392" s="51" t="e">
        <f t="shared" si="316"/>
        <v>#NUM!</v>
      </c>
      <c r="AN392" s="51" t="e">
        <f t="shared" si="337"/>
        <v>#NUM!</v>
      </c>
      <c r="AO392" s="51" t="e">
        <f t="shared" si="338"/>
        <v>#NUM!</v>
      </c>
      <c r="AP392" s="60" t="e">
        <f t="shared" si="339"/>
        <v>#NUM!</v>
      </c>
      <c r="AQ392" s="51" t="e">
        <f t="shared" si="340"/>
        <v>#NUM!</v>
      </c>
      <c r="AR392" s="63" t="e">
        <f t="shared" si="341"/>
        <v>#NUM!</v>
      </c>
      <c r="AS392" s="32" t="str">
        <f t="shared" si="317"/>
        <v>-0.000170731707317073</v>
      </c>
      <c r="AT392" s="32" t="str">
        <f t="shared" si="318"/>
        <v>0.0131208951484041i</v>
      </c>
      <c r="AU392" s="32">
        <f t="shared" si="342"/>
        <v>1.31208951484041E-2</v>
      </c>
      <c r="AV392" s="32">
        <f t="shared" si="343"/>
        <v>1.5707963267948966</v>
      </c>
      <c r="AW392" s="32" t="str">
        <f t="shared" si="319"/>
        <v>1+2.79355124960204i</v>
      </c>
      <c r="AX392" s="32">
        <f t="shared" si="344"/>
        <v>2.9671414836763543</v>
      </c>
      <c r="AY392" s="32">
        <f t="shared" si="345"/>
        <v>1.2270413967402023</v>
      </c>
      <c r="AZ392" s="32" t="str">
        <f t="shared" si="320"/>
        <v>1+53.0774737424388i</v>
      </c>
      <c r="BA392" s="32">
        <f t="shared" si="346"/>
        <v>53.08689309876101</v>
      </c>
      <c r="BB392" s="32">
        <f t="shared" si="347"/>
        <v>1.5519581712711659</v>
      </c>
      <c r="BC392" s="60" t="str">
        <f t="shared" si="348"/>
        <v>-0.0743195986467901+0.220627807324183i</v>
      </c>
      <c r="BD392" s="51">
        <f t="shared" si="349"/>
        <v>-12.660004561887089</v>
      </c>
      <c r="BE392" s="63">
        <f t="shared" si="350"/>
        <v>108.61635987362803</v>
      </c>
      <c r="BF392" s="60" t="str">
        <f t="shared" si="351"/>
        <v>0.0343684375811014-0.0159819554434597i</v>
      </c>
      <c r="BG392" s="66">
        <f t="shared" si="352"/>
        <v>-28.426603888375372</v>
      </c>
      <c r="BH392" s="63">
        <f t="shared" si="353"/>
        <v>-24.939293901217361</v>
      </c>
      <c r="BI392" s="60" t="e">
        <f t="shared" si="357"/>
        <v>#NUM!</v>
      </c>
      <c r="BJ392" s="66" t="e">
        <f t="shared" si="354"/>
        <v>#NUM!</v>
      </c>
      <c r="BK392" s="63" t="e">
        <f t="shared" si="358"/>
        <v>#NUM!</v>
      </c>
      <c r="BL392" s="51">
        <f t="shared" si="355"/>
        <v>-28.426603888375372</v>
      </c>
      <c r="BM392" s="63">
        <f t="shared" si="356"/>
        <v>-24.939293901217361</v>
      </c>
    </row>
    <row r="393" spans="14:65" x14ac:dyDescent="0.3">
      <c r="N393" s="11">
        <v>75</v>
      </c>
      <c r="O393" s="52">
        <f t="shared" si="359"/>
        <v>56234.132519034953</v>
      </c>
      <c r="P393" s="50" t="str">
        <f t="shared" si="309"/>
        <v>23.3035714285714</v>
      </c>
      <c r="Q393" s="18" t="str">
        <f t="shared" si="310"/>
        <v>1+189.283647431566i</v>
      </c>
      <c r="R393" s="18">
        <f t="shared" si="321"/>
        <v>189.28628895141185</v>
      </c>
      <c r="S393" s="18">
        <f t="shared" si="322"/>
        <v>1.5655132993908272</v>
      </c>
      <c r="T393" s="18" t="str">
        <f t="shared" si="311"/>
        <v>1+0.35332947520559i</v>
      </c>
      <c r="U393" s="18">
        <f t="shared" si="323"/>
        <v>1.0605855543279181</v>
      </c>
      <c r="V393" s="18">
        <f t="shared" si="324"/>
        <v>0.33963785954948184</v>
      </c>
      <c r="W393" s="32" t="str">
        <f t="shared" si="312"/>
        <v>1-0.863694272724776i</v>
      </c>
      <c r="X393" s="18">
        <f t="shared" si="325"/>
        <v>1.3213507470530221</v>
      </c>
      <c r="Y393" s="18">
        <f t="shared" si="326"/>
        <v>-0.7123907663735124</v>
      </c>
      <c r="Z393" s="32" t="str">
        <f t="shared" si="313"/>
        <v>0.987350889359326+0.423898204641026i</v>
      </c>
      <c r="AA393" s="18">
        <f t="shared" si="327"/>
        <v>1.0745005661313247</v>
      </c>
      <c r="AB393" s="18">
        <f t="shared" si="328"/>
        <v>0.40553148654209503</v>
      </c>
      <c r="AC393" s="68" t="str">
        <f t="shared" si="329"/>
        <v>-0.112122905068264-0.114937875777525i</v>
      </c>
      <c r="AD393" s="66">
        <f t="shared" si="330"/>
        <v>-15.886789972669158</v>
      </c>
      <c r="AE393" s="63">
        <f t="shared" si="331"/>
        <v>-134.28971582747349</v>
      </c>
      <c r="AF393" s="51" t="e">
        <f t="shared" si="332"/>
        <v>#NUM!</v>
      </c>
      <c r="AG393" s="51" t="str">
        <f t="shared" si="314"/>
        <v>1-264.997106404193i</v>
      </c>
      <c r="AH393" s="51">
        <f t="shared" si="333"/>
        <v>264.9989932105313</v>
      </c>
      <c r="AI393" s="51">
        <f t="shared" si="334"/>
        <v>-1.5670227185964587</v>
      </c>
      <c r="AJ393" s="51" t="str">
        <f t="shared" si="315"/>
        <v>1+0.35332947520559i</v>
      </c>
      <c r="AK393" s="51">
        <f t="shared" si="335"/>
        <v>1.0605855543279181</v>
      </c>
      <c r="AL393" s="51">
        <f t="shared" si="336"/>
        <v>0.33963785954948184</v>
      </c>
      <c r="AM393" s="51" t="e">
        <f t="shared" si="316"/>
        <v>#NUM!</v>
      </c>
      <c r="AN393" s="51" t="e">
        <f t="shared" si="337"/>
        <v>#NUM!</v>
      </c>
      <c r="AO393" s="51" t="e">
        <f t="shared" si="338"/>
        <v>#NUM!</v>
      </c>
      <c r="AP393" s="60" t="e">
        <f t="shared" si="339"/>
        <v>#NUM!</v>
      </c>
      <c r="AQ393" s="51" t="e">
        <f t="shared" si="340"/>
        <v>#NUM!</v>
      </c>
      <c r="AR393" s="63" t="e">
        <f t="shared" si="341"/>
        <v>#NUM!</v>
      </c>
      <c r="AS393" s="32" t="str">
        <f t="shared" si="317"/>
        <v>-0.000170731707317073</v>
      </c>
      <c r="AT393" s="32" t="str">
        <f t="shared" si="318"/>
        <v>0.0134265200578124i</v>
      </c>
      <c r="AU393" s="32">
        <f t="shared" si="342"/>
        <v>1.34265200578124E-2</v>
      </c>
      <c r="AV393" s="32">
        <f t="shared" si="343"/>
        <v>1.5707963267948966</v>
      </c>
      <c r="AW393" s="32" t="str">
        <f t="shared" si="319"/>
        <v>1+2.85862141729491i</v>
      </c>
      <c r="AX393" s="32">
        <f t="shared" si="344"/>
        <v>3.0284841765175465</v>
      </c>
      <c r="AY393" s="32">
        <f t="shared" si="345"/>
        <v>1.2342827903959168</v>
      </c>
      <c r="AZ393" s="32" t="str">
        <f t="shared" si="320"/>
        <v>1+54.3138069286033i</v>
      </c>
      <c r="BA393" s="32">
        <f t="shared" si="346"/>
        <v>54.323011910953497</v>
      </c>
      <c r="BB393" s="32">
        <f t="shared" si="347"/>
        <v>1.5523868820372657</v>
      </c>
      <c r="BC393" s="60" t="str">
        <f t="shared" si="348"/>
        <v>-0.0713393665726657+0.216648247009781i</v>
      </c>
      <c r="BD393" s="51">
        <f t="shared" si="349"/>
        <v>-12.837814987532653</v>
      </c>
      <c r="BE393" s="63">
        <f t="shared" si="350"/>
        <v>108.22602189689208</v>
      </c>
      <c r="BF393" s="60" t="str">
        <f t="shared" si="351"/>
        <v>0.0328998663280858-0.0160916355795071i</v>
      </c>
      <c r="BG393" s="66">
        <f t="shared" si="352"/>
        <v>-28.72460496020182</v>
      </c>
      <c r="BH393" s="63">
        <f t="shared" si="353"/>
        <v>-26.063693930581422</v>
      </c>
      <c r="BI393" s="60" t="e">
        <f t="shared" si="357"/>
        <v>#NUM!</v>
      </c>
      <c r="BJ393" s="66" t="e">
        <f t="shared" si="354"/>
        <v>#NUM!</v>
      </c>
      <c r="BK393" s="63" t="e">
        <f t="shared" si="358"/>
        <v>#NUM!</v>
      </c>
      <c r="BL393" s="51">
        <f t="shared" si="355"/>
        <v>-28.72460496020182</v>
      </c>
      <c r="BM393" s="63">
        <f t="shared" si="356"/>
        <v>-26.063693930581422</v>
      </c>
    </row>
    <row r="394" spans="14:65" x14ac:dyDescent="0.3">
      <c r="N394" s="11">
        <v>76</v>
      </c>
      <c r="O394" s="52">
        <f t="shared" si="359"/>
        <v>57543.993733715732</v>
      </c>
      <c r="P394" s="50" t="str">
        <f t="shared" si="309"/>
        <v>23.3035714285714</v>
      </c>
      <c r="Q394" s="18" t="str">
        <f t="shared" si="310"/>
        <v>1+193.692629970062i</v>
      </c>
      <c r="R394" s="18">
        <f t="shared" si="321"/>
        <v>193.69521136238595</v>
      </c>
      <c r="S394" s="18">
        <f t="shared" si="322"/>
        <v>1.5656335536145414</v>
      </c>
      <c r="T394" s="18" t="str">
        <f t="shared" si="311"/>
        <v>1+0.361559575944117i</v>
      </c>
      <c r="U394" s="18">
        <f t="shared" si="323"/>
        <v>1.0633556916464451</v>
      </c>
      <c r="V394" s="18">
        <f t="shared" si="324"/>
        <v>0.34693553824867168</v>
      </c>
      <c r="W394" s="32" t="str">
        <f t="shared" si="312"/>
        <v>1-0.883812296752286i</v>
      </c>
      <c r="X394" s="18">
        <f t="shared" si="325"/>
        <v>1.3345876426411833</v>
      </c>
      <c r="Y394" s="18">
        <f t="shared" si="326"/>
        <v>-0.72379929219219707</v>
      </c>
      <c r="Z394" s="32" t="str">
        <f t="shared" si="313"/>
        <v>0.986754755140696+0.433772062249556i</v>
      </c>
      <c r="AA394" s="18">
        <f t="shared" si="327"/>
        <v>1.0778882821429165</v>
      </c>
      <c r="AB394" s="18">
        <f t="shared" si="328"/>
        <v>0.41416717937069714</v>
      </c>
      <c r="AC394" s="68" t="str">
        <f t="shared" si="329"/>
        <v>-0.112058429751445-0.111953145034624i</v>
      </c>
      <c r="AD394" s="66">
        <f t="shared" si="330"/>
        <v>-16.004889814912758</v>
      </c>
      <c r="AE394" s="63">
        <f t="shared" si="331"/>
        <v>-135.02692882938149</v>
      </c>
      <c r="AF394" s="51" t="e">
        <f t="shared" si="332"/>
        <v>#NUM!</v>
      </c>
      <c r="AG394" s="51" t="str">
        <f t="shared" si="314"/>
        <v>1-271.169681958088i</v>
      </c>
      <c r="AH394" s="51">
        <f t="shared" si="333"/>
        <v>271.1715258157659</v>
      </c>
      <c r="AI394" s="51">
        <f t="shared" si="334"/>
        <v>-1.5671086156182497</v>
      </c>
      <c r="AJ394" s="51" t="str">
        <f t="shared" si="315"/>
        <v>1+0.361559575944117i</v>
      </c>
      <c r="AK394" s="51">
        <f t="shared" si="335"/>
        <v>1.0633556916464451</v>
      </c>
      <c r="AL394" s="51">
        <f t="shared" si="336"/>
        <v>0.34693553824867168</v>
      </c>
      <c r="AM394" s="51" t="e">
        <f t="shared" si="316"/>
        <v>#NUM!</v>
      </c>
      <c r="AN394" s="51" t="e">
        <f t="shared" si="337"/>
        <v>#NUM!</v>
      </c>
      <c r="AO394" s="51" t="e">
        <f t="shared" si="338"/>
        <v>#NUM!</v>
      </c>
      <c r="AP394" s="60" t="e">
        <f t="shared" si="339"/>
        <v>#NUM!</v>
      </c>
      <c r="AQ394" s="51" t="e">
        <f t="shared" si="340"/>
        <v>#NUM!</v>
      </c>
      <c r="AR394" s="63" t="e">
        <f t="shared" si="341"/>
        <v>#NUM!</v>
      </c>
      <c r="AS394" s="32" t="str">
        <f t="shared" si="317"/>
        <v>-0.000170731707317073</v>
      </c>
      <c r="AT394" s="32" t="str">
        <f t="shared" si="318"/>
        <v>0.0137392638858764i</v>
      </c>
      <c r="AU394" s="32">
        <f t="shared" si="342"/>
        <v>1.37392638858764E-2</v>
      </c>
      <c r="AV394" s="32">
        <f t="shared" si="343"/>
        <v>1.5707963267948966</v>
      </c>
      <c r="AW394" s="32" t="str">
        <f t="shared" si="319"/>
        <v>1+2.92520726390156i</v>
      </c>
      <c r="AX394" s="32">
        <f t="shared" si="344"/>
        <v>3.0914135175971604</v>
      </c>
      <c r="AY394" s="32">
        <f t="shared" si="345"/>
        <v>1.2413949775573871</v>
      </c>
      <c r="AZ394" s="32" t="str">
        <f t="shared" si="320"/>
        <v>1+55.5789380141297i</v>
      </c>
      <c r="BA394" s="32">
        <f t="shared" si="346"/>
        <v>55.587933499802553</v>
      </c>
      <c r="BB394" s="32">
        <f t="shared" si="347"/>
        <v>1.5528058406946676</v>
      </c>
      <c r="BC394" s="60" t="str">
        <f t="shared" si="348"/>
        <v>-0.0684645350902926+0.212699509563665i</v>
      </c>
      <c r="BD394" s="51">
        <f t="shared" si="349"/>
        <v>-13.016517079741</v>
      </c>
      <c r="BE394" s="63">
        <f t="shared" si="350"/>
        <v>107.84252815229233</v>
      </c>
      <c r="BF394" s="60" t="str">
        <f t="shared" si="351"/>
        <v>0.0314844073388553-0.0161699530239151i</v>
      </c>
      <c r="BG394" s="66">
        <f t="shared" si="352"/>
        <v>-29.021406894653758</v>
      </c>
      <c r="BH394" s="63">
        <f t="shared" si="353"/>
        <v>-27.184400677089112</v>
      </c>
      <c r="BI394" s="60" t="e">
        <f t="shared" si="357"/>
        <v>#NUM!</v>
      </c>
      <c r="BJ394" s="66" t="e">
        <f t="shared" si="354"/>
        <v>#NUM!</v>
      </c>
      <c r="BK394" s="63" t="e">
        <f t="shared" si="358"/>
        <v>#NUM!</v>
      </c>
      <c r="BL394" s="51">
        <f t="shared" si="355"/>
        <v>-29.021406894653758</v>
      </c>
      <c r="BM394" s="63">
        <f t="shared" si="356"/>
        <v>-27.184400677089112</v>
      </c>
    </row>
    <row r="395" spans="14:65" x14ac:dyDescent="0.3">
      <c r="N395" s="11">
        <v>77</v>
      </c>
      <c r="O395" s="52">
        <f t="shared" si="359"/>
        <v>58884.365535558936</v>
      </c>
      <c r="P395" s="50" t="str">
        <f t="shared" si="309"/>
        <v>23.3035714285714</v>
      </c>
      <c r="Q395" s="18" t="str">
        <f t="shared" si="310"/>
        <v>1+198.204310904794i</v>
      </c>
      <c r="R395" s="18">
        <f t="shared" si="321"/>
        <v>198.20683353821141</v>
      </c>
      <c r="S395" s="18">
        <f t="shared" si="322"/>
        <v>1.5657510706622177</v>
      </c>
      <c r="T395" s="18" t="str">
        <f t="shared" si="311"/>
        <v>1+0.369981380355616i</v>
      </c>
      <c r="U395" s="18">
        <f t="shared" si="323"/>
        <v>1.0662486679053096</v>
      </c>
      <c r="V395" s="18">
        <f t="shared" si="324"/>
        <v>0.35436354146734456</v>
      </c>
      <c r="W395" s="32" t="str">
        <f t="shared" si="312"/>
        <v>1-0.904398929758173i</v>
      </c>
      <c r="X395" s="18">
        <f t="shared" si="325"/>
        <v>1.3483090981476498</v>
      </c>
      <c r="Y395" s="18">
        <f t="shared" si="326"/>
        <v>-0.73524014063571763</v>
      </c>
      <c r="Z395" s="32" t="str">
        <f t="shared" si="313"/>
        <v>0.986130525981899+0.443875911547141i</v>
      </c>
      <c r="AA395" s="18">
        <f t="shared" si="327"/>
        <v>1.0814246340476725</v>
      </c>
      <c r="AB395" s="18">
        <f t="shared" si="328"/>
        <v>0.42295273493312074</v>
      </c>
      <c r="AC395" s="68" t="str">
        <f t="shared" si="329"/>
        <v>-0.111989387092556-0.109030654970944i</v>
      </c>
      <c r="AD395" s="66">
        <f t="shared" si="330"/>
        <v>-16.120888608226686</v>
      </c>
      <c r="AE395" s="63">
        <f t="shared" si="331"/>
        <v>-135.76695640986205</v>
      </c>
      <c r="AF395" s="51" t="e">
        <f t="shared" si="332"/>
        <v>#NUM!</v>
      </c>
      <c r="AG395" s="51" t="str">
        <f t="shared" si="314"/>
        <v>1-277.486035266713i</v>
      </c>
      <c r="AH395" s="51">
        <f t="shared" si="333"/>
        <v>277.48783715334167</v>
      </c>
      <c r="AI395" s="51">
        <f t="shared" si="334"/>
        <v>-1.5671925574376968</v>
      </c>
      <c r="AJ395" s="51" t="str">
        <f t="shared" si="315"/>
        <v>1+0.369981380355616i</v>
      </c>
      <c r="AK395" s="51">
        <f t="shared" si="335"/>
        <v>1.0662486679053096</v>
      </c>
      <c r="AL395" s="51">
        <f t="shared" si="336"/>
        <v>0.35436354146734456</v>
      </c>
      <c r="AM395" s="51" t="e">
        <f t="shared" si="316"/>
        <v>#NUM!</v>
      </c>
      <c r="AN395" s="51" t="e">
        <f t="shared" si="337"/>
        <v>#NUM!</v>
      </c>
      <c r="AO395" s="51" t="e">
        <f t="shared" si="338"/>
        <v>#NUM!</v>
      </c>
      <c r="AP395" s="60" t="e">
        <f t="shared" si="339"/>
        <v>#NUM!</v>
      </c>
      <c r="AQ395" s="51" t="e">
        <f t="shared" si="340"/>
        <v>#NUM!</v>
      </c>
      <c r="AR395" s="63" t="e">
        <f t="shared" si="341"/>
        <v>#NUM!</v>
      </c>
      <c r="AS395" s="32" t="str">
        <f t="shared" si="317"/>
        <v>-0.000170731707317073</v>
      </c>
      <c r="AT395" s="32" t="str">
        <f t="shared" si="318"/>
        <v>0.0140592924535134i</v>
      </c>
      <c r="AU395" s="32">
        <f t="shared" si="342"/>
        <v>1.40592924535134E-2</v>
      </c>
      <c r="AV395" s="32">
        <f t="shared" si="343"/>
        <v>1.5707963267948966</v>
      </c>
      <c r="AW395" s="32" t="str">
        <f t="shared" si="319"/>
        <v>1+2.99334409411922i</v>
      </c>
      <c r="AX395" s="32">
        <f t="shared" si="344"/>
        <v>3.1559640152888959</v>
      </c>
      <c r="AY395" s="32">
        <f t="shared" si="345"/>
        <v>1.2483788502174786</v>
      </c>
      <c r="AZ395" s="32" t="str">
        <f t="shared" si="320"/>
        <v>1+56.8735377882653i</v>
      </c>
      <c r="BA395" s="32">
        <f t="shared" si="346"/>
        <v>56.882328543698364</v>
      </c>
      <c r="BB395" s="32">
        <f t="shared" si="347"/>
        <v>1.5532152687921537</v>
      </c>
      <c r="BC395" s="60" t="str">
        <f t="shared" si="348"/>
        <v>-0.0656924987171627+0.208783944353364i</v>
      </c>
      <c r="BD395" s="51">
        <f t="shared" si="349"/>
        <v>-13.196079158661544</v>
      </c>
      <c r="BE395" s="63">
        <f t="shared" si="350"/>
        <v>107.46584022621229</v>
      </c>
      <c r="BF395" s="60" t="str">
        <f t="shared" si="351"/>
        <v>0.030120712868178-0.0162190898010894i</v>
      </c>
      <c r="BG395" s="66">
        <f t="shared" si="352"/>
        <v>-29.316967766888226</v>
      </c>
      <c r="BH395" s="63">
        <f t="shared" si="353"/>
        <v>-28.301116183649725</v>
      </c>
      <c r="BI395" s="60" t="e">
        <f t="shared" si="357"/>
        <v>#NUM!</v>
      </c>
      <c r="BJ395" s="66" t="e">
        <f t="shared" si="354"/>
        <v>#NUM!</v>
      </c>
      <c r="BK395" s="63" t="e">
        <f t="shared" si="358"/>
        <v>#NUM!</v>
      </c>
      <c r="BL395" s="51">
        <f t="shared" si="355"/>
        <v>-29.316967766888226</v>
      </c>
      <c r="BM395" s="63">
        <f t="shared" si="356"/>
        <v>-28.301116183649725</v>
      </c>
    </row>
    <row r="396" spans="14:65" x14ac:dyDescent="0.3">
      <c r="N396" s="11">
        <v>78</v>
      </c>
      <c r="O396" s="52">
        <f t="shared" si="359"/>
        <v>60255.95860743591</v>
      </c>
      <c r="P396" s="50" t="str">
        <f t="shared" si="309"/>
        <v>23.3035714285714</v>
      </c>
      <c r="Q396" s="18" t="str">
        <f t="shared" si="310"/>
        <v>1+202.821082388712i</v>
      </c>
      <c r="R396" s="18">
        <f t="shared" si="321"/>
        <v>202.82354760068836</v>
      </c>
      <c r="S396" s="18">
        <f t="shared" si="322"/>
        <v>1.5658659128299597</v>
      </c>
      <c r="T396" s="18" t="str">
        <f t="shared" si="311"/>
        <v>1+0.378599353792263i</v>
      </c>
      <c r="U396" s="18">
        <f t="shared" si="323"/>
        <v>1.0692695968238874</v>
      </c>
      <c r="V396" s="18">
        <f t="shared" si="324"/>
        <v>0.36192252791818275</v>
      </c>
      <c r="W396" s="32" t="str">
        <f t="shared" si="312"/>
        <v>1-0.925465087047754i</v>
      </c>
      <c r="X396" s="18">
        <f t="shared" si="325"/>
        <v>1.3625291289892876</v>
      </c>
      <c r="Y396" s="18">
        <f t="shared" si="326"/>
        <v>-0.74670739853570978</v>
      </c>
      <c r="Z396" s="32" t="str">
        <f t="shared" si="313"/>
        <v>0.985476877809196+0.454215109728423i</v>
      </c>
      <c r="AA396" s="18">
        <f t="shared" si="327"/>
        <v>1.0851156816681642</v>
      </c>
      <c r="AB396" s="18">
        <f t="shared" si="328"/>
        <v>0.43188868537545333</v>
      </c>
      <c r="AC396" s="68" t="str">
        <f t="shared" si="329"/>
        <v>-0.111915772791284-0.106169004404873i</v>
      </c>
      <c r="AD396" s="66">
        <f t="shared" si="330"/>
        <v>-16.23477831447607</v>
      </c>
      <c r="AE396" s="63">
        <f t="shared" si="331"/>
        <v>-136.50945608689557</v>
      </c>
      <c r="AF396" s="51" t="e">
        <f t="shared" si="332"/>
        <v>#NUM!</v>
      </c>
      <c r="AG396" s="51" t="str">
        <f t="shared" si="314"/>
        <v>1-283.949515344198i</v>
      </c>
      <c r="AH396" s="51">
        <f t="shared" si="333"/>
        <v>283.95127621513689</v>
      </c>
      <c r="AI396" s="51">
        <f t="shared" si="334"/>
        <v>-1.5672745885571293</v>
      </c>
      <c r="AJ396" s="51" t="str">
        <f t="shared" si="315"/>
        <v>1+0.378599353792263i</v>
      </c>
      <c r="AK396" s="51">
        <f t="shared" si="335"/>
        <v>1.0692695968238874</v>
      </c>
      <c r="AL396" s="51">
        <f t="shared" si="336"/>
        <v>0.36192252791818275</v>
      </c>
      <c r="AM396" s="51" t="e">
        <f t="shared" si="316"/>
        <v>#NUM!</v>
      </c>
      <c r="AN396" s="51" t="e">
        <f t="shared" si="337"/>
        <v>#NUM!</v>
      </c>
      <c r="AO396" s="51" t="e">
        <f t="shared" si="338"/>
        <v>#NUM!</v>
      </c>
      <c r="AP396" s="60" t="e">
        <f t="shared" si="339"/>
        <v>#NUM!</v>
      </c>
      <c r="AQ396" s="51" t="e">
        <f t="shared" si="340"/>
        <v>#NUM!</v>
      </c>
      <c r="AR396" s="63" t="e">
        <f t="shared" si="341"/>
        <v>#NUM!</v>
      </c>
      <c r="AS396" s="32" t="str">
        <f t="shared" si="317"/>
        <v>-0.000170731707317073</v>
      </c>
      <c r="AT396" s="32" t="str">
        <f t="shared" si="318"/>
        <v>0.014386775444106i</v>
      </c>
      <c r="AU396" s="32">
        <f t="shared" si="342"/>
        <v>1.4386775444105999E-2</v>
      </c>
      <c r="AV396" s="32">
        <f t="shared" si="343"/>
        <v>1.5707963267948966</v>
      </c>
      <c r="AW396" s="32" t="str">
        <f t="shared" si="319"/>
        <v>1+3.06306803499719i</v>
      </c>
      <c r="AX396" s="32">
        <f t="shared" si="344"/>
        <v>3.2221709742069158</v>
      </c>
      <c r="AY396" s="32">
        <f t="shared" si="345"/>
        <v>1.255235385339458</v>
      </c>
      <c r="AZ396" s="32" t="str">
        <f t="shared" si="320"/>
        <v>1+58.1982926649467i</v>
      </c>
      <c r="BA396" s="32">
        <f t="shared" si="346"/>
        <v>58.206883348232871</v>
      </c>
      <c r="BB396" s="32">
        <f t="shared" si="347"/>
        <v>1.5536153828645414</v>
      </c>
      <c r="BC396" s="60" t="str">
        <f t="shared" si="348"/>
        <v>-0.063020624768844+0.204903728403785i</v>
      </c>
      <c r="BD396" s="51">
        <f t="shared" si="349"/>
        <v>-13.376470338949652</v>
      </c>
      <c r="BE396" s="63">
        <f t="shared" si="350"/>
        <v>107.0959145493112</v>
      </c>
      <c r="BF396" s="60" t="str">
        <f t="shared" si="351"/>
        <v>0.0288074267662711-0.0162411221234437i</v>
      </c>
      <c r="BG396" s="66">
        <f t="shared" si="352"/>
        <v>-29.611248653425712</v>
      </c>
      <c r="BH396" s="63">
        <f t="shared" si="353"/>
        <v>-29.413541537584301</v>
      </c>
      <c r="BI396" s="60" t="e">
        <f t="shared" si="357"/>
        <v>#NUM!</v>
      </c>
      <c r="BJ396" s="66" t="e">
        <f t="shared" si="354"/>
        <v>#NUM!</v>
      </c>
      <c r="BK396" s="63" t="e">
        <f t="shared" si="358"/>
        <v>#NUM!</v>
      </c>
      <c r="BL396" s="51">
        <f t="shared" si="355"/>
        <v>-29.611248653425712</v>
      </c>
      <c r="BM396" s="63">
        <f t="shared" si="356"/>
        <v>-29.413541537584301</v>
      </c>
    </row>
    <row r="397" spans="14:65" x14ac:dyDescent="0.3">
      <c r="N397" s="11">
        <v>79</v>
      </c>
      <c r="O397" s="52">
        <f t="shared" si="359"/>
        <v>61659.500186148245</v>
      </c>
      <c r="P397" s="50" t="str">
        <f t="shared" si="309"/>
        <v>23.3035714285714</v>
      </c>
      <c r="Q397" s="18" t="str">
        <f t="shared" si="310"/>
        <v>1+207.545392295166i</v>
      </c>
      <c r="R397" s="18">
        <f t="shared" si="321"/>
        <v>207.54780139272583</v>
      </c>
      <c r="S397" s="18">
        <f t="shared" si="322"/>
        <v>1.5659781409964808</v>
      </c>
      <c r="T397" s="18" t="str">
        <f t="shared" si="311"/>
        <v>1+0.387418065617644i</v>
      </c>
      <c r="U397" s="18">
        <f t="shared" si="323"/>
        <v>1.0724237770428802</v>
      </c>
      <c r="V397" s="18">
        <f t="shared" si="324"/>
        <v>0.36961304921890159</v>
      </c>
      <c r="W397" s="32" t="str">
        <f t="shared" si="312"/>
        <v>1-0.947021938176463i</v>
      </c>
      <c r="X397" s="18">
        <f t="shared" si="325"/>
        <v>1.3772619763093383</v>
      </c>
      <c r="Y397" s="18">
        <f t="shared" si="326"/>
        <v>-0.75819508361440224</v>
      </c>
      <c r="Z397" s="32" t="str">
        <f t="shared" si="313"/>
        <v>0.984792424147177+0.464795138773128i</v>
      </c>
      <c r="AA397" s="18">
        <f t="shared" si="327"/>
        <v>1.0889676945092563</v>
      </c>
      <c r="AB397" s="18">
        <f t="shared" si="328"/>
        <v>0.44097543452670318</v>
      </c>
      <c r="AC397" s="68" t="str">
        <f t="shared" si="329"/>
        <v>-0.11183758248615-0.103366829374084i</v>
      </c>
      <c r="AD397" s="66">
        <f t="shared" si="330"/>
        <v>-16.346553134107502</v>
      </c>
      <c r="AE397" s="63">
        <f t="shared" si="331"/>
        <v>-137.254080121638</v>
      </c>
      <c r="AF397" s="51" t="e">
        <f t="shared" si="332"/>
        <v>#NUM!</v>
      </c>
      <c r="AG397" s="51" t="str">
        <f t="shared" si="314"/>
        <v>1-290.563549213234i</v>
      </c>
      <c r="AH397" s="51">
        <f t="shared" si="333"/>
        <v>290.5652700020969</v>
      </c>
      <c r="AI397" s="51">
        <f t="shared" si="334"/>
        <v>-1.567354752466114</v>
      </c>
      <c r="AJ397" s="51" t="str">
        <f t="shared" si="315"/>
        <v>1+0.387418065617644i</v>
      </c>
      <c r="AK397" s="51">
        <f t="shared" si="335"/>
        <v>1.0724237770428802</v>
      </c>
      <c r="AL397" s="51">
        <f t="shared" si="336"/>
        <v>0.36961304921890159</v>
      </c>
      <c r="AM397" s="51" t="e">
        <f t="shared" si="316"/>
        <v>#NUM!</v>
      </c>
      <c r="AN397" s="51" t="e">
        <f t="shared" si="337"/>
        <v>#NUM!</v>
      </c>
      <c r="AO397" s="51" t="e">
        <f t="shared" si="338"/>
        <v>#NUM!</v>
      </c>
      <c r="AP397" s="60" t="e">
        <f t="shared" si="339"/>
        <v>#NUM!</v>
      </c>
      <c r="AQ397" s="51" t="e">
        <f t="shared" si="340"/>
        <v>#NUM!</v>
      </c>
      <c r="AR397" s="63" t="e">
        <f t="shared" si="341"/>
        <v>#NUM!</v>
      </c>
      <c r="AS397" s="32" t="str">
        <f t="shared" si="317"/>
        <v>-0.000170731707317073</v>
      </c>
      <c r="AT397" s="32" t="str">
        <f t="shared" si="318"/>
        <v>0.0147218864934705i</v>
      </c>
      <c r="AU397" s="32">
        <f t="shared" si="342"/>
        <v>1.4721886493470501E-2</v>
      </c>
      <c r="AV397" s="32">
        <f t="shared" si="343"/>
        <v>1.5707963267948966</v>
      </c>
      <c r="AW397" s="32" t="str">
        <f t="shared" si="319"/>
        <v>1+3.1344160550918i</v>
      </c>
      <c r="AX397" s="32">
        <f t="shared" si="344"/>
        <v>3.2900705169368698</v>
      </c>
      <c r="AY397" s="32">
        <f t="shared" si="345"/>
        <v>1.2619656387545983</v>
      </c>
      <c r="AZ397" s="32" t="str">
        <f t="shared" si="320"/>
        <v>1+59.5539050467443i</v>
      </c>
      <c r="BA397" s="32">
        <f t="shared" si="346"/>
        <v>59.562300210087891</v>
      </c>
      <c r="BB397" s="32">
        <f t="shared" si="347"/>
        <v>1.5540063945448761</v>
      </c>
      <c r="BC397" s="60" t="str">
        <f t="shared" si="348"/>
        <v>-0.0604462626394341+0.201060871236613i</v>
      </c>
      <c r="BD397" s="51">
        <f t="shared" si="349"/>
        <v>-13.557660536929481</v>
      </c>
      <c r="BE397" s="63">
        <f t="shared" si="350"/>
        <v>106.7327027525937</v>
      </c>
      <c r="BF397" s="60" t="str">
        <f t="shared" si="351"/>
        <v>0.0275431886548368-0.0162380232551104i</v>
      </c>
      <c r="BG397" s="66">
        <f t="shared" si="352"/>
        <v>-29.904213671037002</v>
      </c>
      <c r="BH397" s="63">
        <f t="shared" si="353"/>
        <v>-30.521377369044306</v>
      </c>
      <c r="BI397" s="60" t="e">
        <f t="shared" si="357"/>
        <v>#NUM!</v>
      </c>
      <c r="BJ397" s="66" t="e">
        <f t="shared" si="354"/>
        <v>#NUM!</v>
      </c>
      <c r="BK397" s="63" t="e">
        <f t="shared" si="358"/>
        <v>#NUM!</v>
      </c>
      <c r="BL397" s="51">
        <f t="shared" si="355"/>
        <v>-29.904213671037002</v>
      </c>
      <c r="BM397" s="63">
        <f t="shared" si="356"/>
        <v>-30.521377369044306</v>
      </c>
    </row>
    <row r="398" spans="14:65" x14ac:dyDescent="0.3">
      <c r="N398" s="11">
        <v>80</v>
      </c>
      <c r="O398" s="52">
        <f t="shared" si="359"/>
        <v>63095.734448019342</v>
      </c>
      <c r="P398" s="50" t="str">
        <f t="shared" si="309"/>
        <v>23.3035714285714</v>
      </c>
      <c r="Q398" s="18" t="str">
        <f t="shared" si="310"/>
        <v>1+212.379745515803i</v>
      </c>
      <c r="R398" s="18">
        <f t="shared" si="321"/>
        <v>212.38209977622228</v>
      </c>
      <c r="S398" s="18">
        <f t="shared" si="322"/>
        <v>1.5660878146553254</v>
      </c>
      <c r="T398" s="18" t="str">
        <f t="shared" si="311"/>
        <v>1+0.3964421916295i</v>
      </c>
      <c r="U398" s="18">
        <f t="shared" si="323"/>
        <v>1.0757166965814007</v>
      </c>
      <c r="V398" s="18">
        <f t="shared" si="324"/>
        <v>0.3774355431791242</v>
      </c>
      <c r="W398" s="32" t="str">
        <f t="shared" si="312"/>
        <v>1-0.969080912872111i</v>
      </c>
      <c r="X398" s="18">
        <f t="shared" si="325"/>
        <v>1.392522105997978</v>
      </c>
      <c r="Y398" s="18">
        <f t="shared" si="326"/>
        <v>-0.76969715987646814</v>
      </c>
      <c r="Z398" s="32" t="str">
        <f t="shared" si="313"/>
        <v>0.98407571317786+0.475621608352702i</v>
      </c>
      <c r="AA398" s="18">
        <f t="shared" si="327"/>
        <v>1.0929871561910163</v>
      </c>
      <c r="AB398" s="18">
        <f t="shared" si="328"/>
        <v>0.45021325124422457</v>
      </c>
      <c r="AC398" s="68" t="str">
        <f t="shared" si="329"/>
        <v>-0.111754812226194-0.100622802339572i</v>
      </c>
      <c r="AD398" s="66">
        <f t="shared" si="330"/>
        <v>-16.456209527636144</v>
      </c>
      <c r="AE398" s="63">
        <f t="shared" si="331"/>
        <v>-138.00047640550989</v>
      </c>
      <c r="AF398" s="51" t="e">
        <f t="shared" si="332"/>
        <v>#NUM!</v>
      </c>
      <c r="AG398" s="51" t="str">
        <f t="shared" si="314"/>
        <v>1-297.331643722126i</v>
      </c>
      <c r="AH398" s="51">
        <f t="shared" si="333"/>
        <v>297.33332534127629</v>
      </c>
      <c r="AI398" s="51">
        <f t="shared" si="334"/>
        <v>-1.5674330916644927</v>
      </c>
      <c r="AJ398" s="51" t="str">
        <f t="shared" si="315"/>
        <v>1+0.3964421916295i</v>
      </c>
      <c r="AK398" s="51">
        <f t="shared" si="335"/>
        <v>1.0757166965814007</v>
      </c>
      <c r="AL398" s="51">
        <f t="shared" si="336"/>
        <v>0.3774355431791242</v>
      </c>
      <c r="AM398" s="51" t="e">
        <f t="shared" si="316"/>
        <v>#NUM!</v>
      </c>
      <c r="AN398" s="51" t="e">
        <f t="shared" si="337"/>
        <v>#NUM!</v>
      </c>
      <c r="AO398" s="51" t="e">
        <f t="shared" si="338"/>
        <v>#NUM!</v>
      </c>
      <c r="AP398" s="60" t="e">
        <f t="shared" si="339"/>
        <v>#NUM!</v>
      </c>
      <c r="AQ398" s="51" t="e">
        <f t="shared" si="340"/>
        <v>#NUM!</v>
      </c>
      <c r="AR398" s="63" t="e">
        <f t="shared" si="341"/>
        <v>#NUM!</v>
      </c>
      <c r="AS398" s="32" t="str">
        <f t="shared" si="317"/>
        <v>-0.000170731707317073</v>
      </c>
      <c r="AT398" s="32" t="str">
        <f t="shared" si="318"/>
        <v>0.015064803281921i</v>
      </c>
      <c r="AU398" s="32">
        <f t="shared" si="342"/>
        <v>1.5064803281921E-2</v>
      </c>
      <c r="AV398" s="32">
        <f t="shared" si="343"/>
        <v>1.5707963267948966</v>
      </c>
      <c r="AW398" s="32" t="str">
        <f t="shared" si="319"/>
        <v>1+3.20742598406772i</v>
      </c>
      <c r="AX398" s="32">
        <f t="shared" si="344"/>
        <v>3.3596996061065907</v>
      </c>
      <c r="AY398" s="32">
        <f t="shared" si="345"/>
        <v>1.2685707392387398</v>
      </c>
      <c r="AZ398" s="32" t="str">
        <f t="shared" si="320"/>
        <v>1+60.9410936972868i</v>
      </c>
      <c r="BA398" s="32">
        <f t="shared" si="346"/>
        <v>60.949297789404341</v>
      </c>
      <c r="BB398" s="32">
        <f t="shared" si="347"/>
        <v>1.5543885106741973</v>
      </c>
      <c r="BC398" s="60" t="str">
        <f t="shared" si="348"/>
        <v>-0.0579667524152588+0.197257220033049i</v>
      </c>
      <c r="BD398" s="51">
        <f t="shared" si="349"/>
        <v>-13.739620475008799</v>
      </c>
      <c r="BE398" s="63">
        <f t="shared" si="350"/>
        <v>106.37615201308648</v>
      </c>
      <c r="BF398" s="60" t="str">
        <f t="shared" si="351"/>
        <v>0.0263266377929685-0.0162116665145069i</v>
      </c>
      <c r="BG398" s="66">
        <f t="shared" si="352"/>
        <v>-30.195830002644939</v>
      </c>
      <c r="BH398" s="63">
        <f t="shared" si="353"/>
        <v>-31.624324392423308</v>
      </c>
      <c r="BI398" s="60" t="e">
        <f t="shared" si="357"/>
        <v>#NUM!</v>
      </c>
      <c r="BJ398" s="66" t="e">
        <f t="shared" si="354"/>
        <v>#NUM!</v>
      </c>
      <c r="BK398" s="63" t="e">
        <f t="shared" si="358"/>
        <v>#NUM!</v>
      </c>
      <c r="BL398" s="51">
        <f t="shared" si="355"/>
        <v>-30.195830002644939</v>
      </c>
      <c r="BM398" s="63">
        <f t="shared" si="356"/>
        <v>-31.624324392423308</v>
      </c>
    </row>
    <row r="399" spans="14:65" x14ac:dyDescent="0.3">
      <c r="N399" s="11">
        <v>81</v>
      </c>
      <c r="O399" s="52">
        <f t="shared" si="359"/>
        <v>64565.422903465682</v>
      </c>
      <c r="P399" s="50" t="str">
        <f t="shared" si="309"/>
        <v>23.3035714285714</v>
      </c>
      <c r="Q399" s="18" t="str">
        <f t="shared" si="310"/>
        <v>1+217.326705288692i</v>
      </c>
      <c r="R399" s="18">
        <f t="shared" si="321"/>
        <v>217.32900596017549</v>
      </c>
      <c r="S399" s="18">
        <f t="shared" si="322"/>
        <v>1.5661949919463596</v>
      </c>
      <c r="T399" s="18" t="str">
        <f t="shared" si="311"/>
        <v>1+0.405676516538892i</v>
      </c>
      <c r="U399" s="18">
        <f t="shared" si="323"/>
        <v>1.0791540372306123</v>
      </c>
      <c r="V399" s="18">
        <f t="shared" si="324"/>
        <v>0.38539032700543663</v>
      </c>
      <c r="W399" s="32" t="str">
        <f t="shared" si="312"/>
        <v>1-0.99165370709507i</v>
      </c>
      <c r="X399" s="18">
        <f t="shared" si="325"/>
        <v>1.4083242079845801</v>
      </c>
      <c r="Y399" s="18">
        <f t="shared" si="326"/>
        <v>-0.78120755334403791</v>
      </c>
      <c r="Z399" s="32" t="str">
        <f t="shared" si="313"/>
        <v>0.983325224661187+0.486700258804622i</v>
      </c>
      <c r="AA399" s="18">
        <f t="shared" si="327"/>
        <v>1.0971807687776249</v>
      </c>
      <c r="AB399" s="18">
        <f t="shared" si="328"/>
        <v>0.45960226282167765</v>
      </c>
      <c r="AC399" s="68" t="str">
        <f t="shared" si="329"/>
        <v>-0.111667458947399-0.0979356313792919i</v>
      </c>
      <c r="AD399" s="66">
        <f t="shared" si="330"/>
        <v>-16.563746226606149</v>
      </c>
      <c r="AE399" s="63">
        <f t="shared" si="331"/>
        <v>-138.74828937517327</v>
      </c>
      <c r="AF399" s="51" t="e">
        <f t="shared" si="332"/>
        <v>#NUM!</v>
      </c>
      <c r="AG399" s="51" t="str">
        <f t="shared" si="314"/>
        <v>1-304.25738740417i</v>
      </c>
      <c r="AH399" s="51">
        <f t="shared" si="333"/>
        <v>304.25903074520426</v>
      </c>
      <c r="AI399" s="51">
        <f t="shared" si="334"/>
        <v>-1.5675096476848975</v>
      </c>
      <c r="AJ399" s="51" t="str">
        <f t="shared" si="315"/>
        <v>1+0.405676516538892i</v>
      </c>
      <c r="AK399" s="51">
        <f t="shared" si="335"/>
        <v>1.0791540372306123</v>
      </c>
      <c r="AL399" s="51">
        <f t="shared" si="336"/>
        <v>0.38539032700543663</v>
      </c>
      <c r="AM399" s="51" t="e">
        <f t="shared" si="316"/>
        <v>#NUM!</v>
      </c>
      <c r="AN399" s="51" t="e">
        <f t="shared" si="337"/>
        <v>#NUM!</v>
      </c>
      <c r="AO399" s="51" t="e">
        <f t="shared" si="338"/>
        <v>#NUM!</v>
      </c>
      <c r="AP399" s="60" t="e">
        <f t="shared" si="339"/>
        <v>#NUM!</v>
      </c>
      <c r="AQ399" s="51" t="e">
        <f t="shared" si="340"/>
        <v>#NUM!</v>
      </c>
      <c r="AR399" s="63" t="e">
        <f t="shared" si="341"/>
        <v>#NUM!</v>
      </c>
      <c r="AS399" s="32" t="str">
        <f t="shared" si="317"/>
        <v>-0.000170731707317073</v>
      </c>
      <c r="AT399" s="32" t="str">
        <f t="shared" si="318"/>
        <v>0.0154157076284779i</v>
      </c>
      <c r="AU399" s="32">
        <f t="shared" si="342"/>
        <v>1.5415707628477901E-2</v>
      </c>
      <c r="AV399" s="32">
        <f t="shared" si="343"/>
        <v>1.5707963267948966</v>
      </c>
      <c r="AW399" s="32" t="str">
        <f t="shared" si="319"/>
        <v>1+3.28213653275571i</v>
      </c>
      <c r="AX399" s="32">
        <f t="shared" si="344"/>
        <v>3.4310960668057193</v>
      </c>
      <c r="AY399" s="32">
        <f t="shared" si="345"/>
        <v>1.2750518827780344</v>
      </c>
      <c r="AZ399" s="32" t="str">
        <f t="shared" si="320"/>
        <v>1+62.3605941223585i</v>
      </c>
      <c r="BA399" s="32">
        <f t="shared" si="346"/>
        <v>62.368611490825529</v>
      </c>
      <c r="BB399" s="32">
        <f t="shared" si="347"/>
        <v>1.5547619334089278</v>
      </c>
      <c r="BC399" s="60" t="str">
        <f t="shared" si="348"/>
        <v>-0.0555794328337979+0.193494465060297i</v>
      </c>
      <c r="BD399" s="51">
        <f t="shared" si="349"/>
        <v>-13.922321683550301</v>
      </c>
      <c r="BE399" s="63">
        <f t="shared" si="350"/>
        <v>106.02620538854077</v>
      </c>
      <c r="BF399" s="60" t="str">
        <f t="shared" si="351"/>
        <v>0.0251564166383664-0.0161638283873887i</v>
      </c>
      <c r="BG399" s="66">
        <f t="shared" si="352"/>
        <v>-30.486067910156439</v>
      </c>
      <c r="BH399" s="63">
        <f t="shared" si="353"/>
        <v>-32.722083986632448</v>
      </c>
      <c r="BI399" s="60" t="e">
        <f t="shared" si="357"/>
        <v>#NUM!</v>
      </c>
      <c r="BJ399" s="66" t="e">
        <f t="shared" si="354"/>
        <v>#NUM!</v>
      </c>
      <c r="BK399" s="63" t="e">
        <f t="shared" si="358"/>
        <v>#NUM!</v>
      </c>
      <c r="BL399" s="51">
        <f t="shared" si="355"/>
        <v>-30.486067910156439</v>
      </c>
      <c r="BM399" s="63">
        <f t="shared" si="356"/>
        <v>-32.722083986632448</v>
      </c>
    </row>
    <row r="400" spans="14:65" x14ac:dyDescent="0.3">
      <c r="N400" s="11">
        <v>82</v>
      </c>
      <c r="O400" s="52">
        <f t="shared" si="359"/>
        <v>66069.344800759733</v>
      </c>
      <c r="P400" s="50" t="str">
        <f t="shared" si="309"/>
        <v>23.3035714285714</v>
      </c>
      <c r="Q400" s="18" t="str">
        <f t="shared" si="310"/>
        <v>1+222.388894557383i</v>
      </c>
      <c r="R400" s="18">
        <f t="shared" si="321"/>
        <v>222.39114285972545</v>
      </c>
      <c r="S400" s="18">
        <f t="shared" si="322"/>
        <v>1.5662997296865473</v>
      </c>
      <c r="T400" s="18" t="str">
        <f t="shared" si="311"/>
        <v>1+0.415125936507116i</v>
      </c>
      <c r="U400" s="18">
        <f t="shared" si="323"/>
        <v>1.0827416788693922</v>
      </c>
      <c r="V400" s="18">
        <f t="shared" si="324"/>
        <v>0.39347759045109881</v>
      </c>
      <c r="W400" s="32" t="str">
        <f t="shared" si="312"/>
        <v>1-1.01475228923962i</v>
      </c>
      <c r="X400" s="18">
        <f t="shared" si="325"/>
        <v>1.4246831958428685</v>
      </c>
      <c r="Y400" s="18">
        <f t="shared" si="326"/>
        <v>-0.79272016803565692</v>
      </c>
      <c r="Z400" s="32" t="str">
        <f t="shared" si="313"/>
        <v>0.982539366710393+0.498036964176i</v>
      </c>
      <c r="AA400" s="18">
        <f t="shared" si="327"/>
        <v>1.1015554569885742</v>
      </c>
      <c r="AB400" s="18">
        <f t="shared" si="328"/>
        <v>0.46914244849901576</v>
      </c>
      <c r="AC400" s="68" t="str">
        <f t="shared" si="329"/>
        <v>-0.111575520952298-0.0953040593689998i</v>
      </c>
      <c r="AD400" s="66">
        <f t="shared" si="330"/>
        <v>-16.669164233830884</v>
      </c>
      <c r="AE400" s="63">
        <f t="shared" si="331"/>
        <v>-139.49716095046747</v>
      </c>
      <c r="AF400" s="51" t="e">
        <f t="shared" si="332"/>
        <v>#NUM!</v>
      </c>
      <c r="AG400" s="51" t="str">
        <f t="shared" si="314"/>
        <v>1-311.344452380338i</v>
      </c>
      <c r="AH400" s="51">
        <f t="shared" si="333"/>
        <v>311.34605831455866</v>
      </c>
      <c r="AI400" s="51">
        <f t="shared" si="334"/>
        <v>-1.5675844611147518</v>
      </c>
      <c r="AJ400" s="51" t="str">
        <f t="shared" si="315"/>
        <v>1+0.415125936507116i</v>
      </c>
      <c r="AK400" s="51">
        <f t="shared" si="335"/>
        <v>1.0827416788693922</v>
      </c>
      <c r="AL400" s="51">
        <f t="shared" si="336"/>
        <v>0.39347759045109881</v>
      </c>
      <c r="AM400" s="51" t="e">
        <f t="shared" si="316"/>
        <v>#NUM!</v>
      </c>
      <c r="AN400" s="51" t="e">
        <f t="shared" si="337"/>
        <v>#NUM!</v>
      </c>
      <c r="AO400" s="51" t="e">
        <f t="shared" si="338"/>
        <v>#NUM!</v>
      </c>
      <c r="AP400" s="60" t="e">
        <f t="shared" si="339"/>
        <v>#NUM!</v>
      </c>
      <c r="AQ400" s="51" t="e">
        <f t="shared" si="340"/>
        <v>#NUM!</v>
      </c>
      <c r="AR400" s="63" t="e">
        <f t="shared" si="341"/>
        <v>#NUM!</v>
      </c>
      <c r="AS400" s="32" t="str">
        <f t="shared" si="317"/>
        <v>-0.000170731707317073</v>
      </c>
      <c r="AT400" s="32" t="str">
        <f t="shared" si="318"/>
        <v>0.0157747855872704i</v>
      </c>
      <c r="AU400" s="32">
        <f t="shared" si="342"/>
        <v>1.5774785587270398E-2</v>
      </c>
      <c r="AV400" s="32">
        <f t="shared" si="343"/>
        <v>1.5707963267948966</v>
      </c>
      <c r="AW400" s="32" t="str">
        <f t="shared" si="319"/>
        <v>1+3.35858731367757i</v>
      </c>
      <c r="AX400" s="32">
        <f t="shared" si="344"/>
        <v>3.5042986093647777</v>
      </c>
      <c r="AY400" s="32">
        <f t="shared" si="345"/>
        <v>1.2814103270321251</v>
      </c>
      <c r="AZ400" s="32" t="str">
        <f t="shared" si="320"/>
        <v>1+63.8131589598739i</v>
      </c>
      <c r="BA400" s="32">
        <f t="shared" si="346"/>
        <v>63.820993853418912</v>
      </c>
      <c r="BB400" s="32">
        <f t="shared" si="347"/>
        <v>1.5551268603259316</v>
      </c>
      <c r="BC400" s="60" t="str">
        <f t="shared" si="348"/>
        <v>-0.0532816486035179+0.189774145306587i</v>
      </c>
      <c r="BD400" s="51">
        <f t="shared" si="349"/>
        <v>-14.105736500395164</v>
      </c>
      <c r="BE400" s="63">
        <f t="shared" si="350"/>
        <v>105.68280214068719</v>
      </c>
      <c r="BF400" s="60" t="str">
        <f t="shared" si="351"/>
        <v>0.024031174111135-0.0160961917240717i</v>
      </c>
      <c r="BG400" s="66">
        <f t="shared" si="352"/>
        <v>-30.77490073422603</v>
      </c>
      <c r="BH400" s="63">
        <f t="shared" si="353"/>
        <v>-33.814358809780281</v>
      </c>
      <c r="BI400" s="60" t="e">
        <f t="shared" si="357"/>
        <v>#NUM!</v>
      </c>
      <c r="BJ400" s="66" t="e">
        <f t="shared" si="354"/>
        <v>#NUM!</v>
      </c>
      <c r="BK400" s="63" t="e">
        <f t="shared" si="358"/>
        <v>#NUM!</v>
      </c>
      <c r="BL400" s="51">
        <f t="shared" si="355"/>
        <v>-30.77490073422603</v>
      </c>
      <c r="BM400" s="63">
        <f t="shared" si="356"/>
        <v>-33.814358809780281</v>
      </c>
    </row>
    <row r="401" spans="14:65" x14ac:dyDescent="0.3">
      <c r="N401" s="11">
        <v>83</v>
      </c>
      <c r="O401" s="52">
        <f t="shared" si="359"/>
        <v>67608.297539198305</v>
      </c>
      <c r="P401" s="50" t="str">
        <f t="shared" si="309"/>
        <v>23.3035714285714</v>
      </c>
      <c r="Q401" s="18" t="str">
        <f t="shared" si="310"/>
        <v>1+227.568997361634i</v>
      </c>
      <c r="R401" s="18">
        <f t="shared" si="321"/>
        <v>227.57119448686689</v>
      </c>
      <c r="S401" s="18">
        <f t="shared" si="322"/>
        <v>1.5664020834000274</v>
      </c>
      <c r="T401" s="18" t="str">
        <f t="shared" si="311"/>
        <v>1+0.424795461741717i</v>
      </c>
      <c r="U401" s="18">
        <f t="shared" si="323"/>
        <v>1.0864857036870565</v>
      </c>
      <c r="V401" s="18">
        <f t="shared" si="324"/>
        <v>0.40169738893976159</v>
      </c>
      <c r="W401" s="32" t="str">
        <f t="shared" si="312"/>
        <v>1-1.03838890647975i</v>
      </c>
      <c r="X401" s="18">
        <f t="shared" si="325"/>
        <v>1.4416142067488831</v>
      </c>
      <c r="Y401" s="18">
        <f t="shared" si="326"/>
        <v>-0.80422890208705411</v>
      </c>
      <c r="Z401" s="32" t="str">
        <f t="shared" si="313"/>
        <v>0.981716472415405+0.509637735338081i</v>
      </c>
      <c r="AA401" s="18">
        <f t="shared" si="327"/>
        <v>1.1061183722786068</v>
      </c>
      <c r="AB401" s="18">
        <f t="shared" si="328"/>
        <v>0.47883363311674254</v>
      </c>
      <c r="AC401" s="68" t="str">
        <f t="shared" si="329"/>
        <v>-0.111478998390848-0.0927268631479962i</v>
      </c>
      <c r="AD401" s="66">
        <f t="shared" si="330"/>
        <v>-16.772466812824529</v>
      </c>
      <c r="AE401" s="63">
        <f t="shared" si="331"/>
        <v>-140.24673149018042</v>
      </c>
      <c r="AF401" s="51" t="e">
        <f t="shared" si="332"/>
        <v>#NUM!</v>
      </c>
      <c r="AG401" s="51" t="str">
        <f t="shared" si="314"/>
        <v>1-318.596596306289i</v>
      </c>
      <c r="AH401" s="51">
        <f t="shared" si="333"/>
        <v>318.59816568516601</v>
      </c>
      <c r="AI401" s="51">
        <f t="shared" si="334"/>
        <v>-1.5676575716177745</v>
      </c>
      <c r="AJ401" s="51" t="str">
        <f t="shared" si="315"/>
        <v>1+0.424795461741717i</v>
      </c>
      <c r="AK401" s="51">
        <f t="shared" si="335"/>
        <v>1.0864857036870565</v>
      </c>
      <c r="AL401" s="51">
        <f t="shared" si="336"/>
        <v>0.40169738893976159</v>
      </c>
      <c r="AM401" s="51" t="e">
        <f t="shared" si="316"/>
        <v>#NUM!</v>
      </c>
      <c r="AN401" s="51" t="e">
        <f t="shared" si="337"/>
        <v>#NUM!</v>
      </c>
      <c r="AO401" s="51" t="e">
        <f t="shared" si="338"/>
        <v>#NUM!</v>
      </c>
      <c r="AP401" s="60" t="e">
        <f t="shared" si="339"/>
        <v>#NUM!</v>
      </c>
      <c r="AQ401" s="51" t="e">
        <f t="shared" si="340"/>
        <v>#NUM!</v>
      </c>
      <c r="AR401" s="63" t="e">
        <f t="shared" si="341"/>
        <v>#NUM!</v>
      </c>
      <c r="AS401" s="32" t="str">
        <f t="shared" si="317"/>
        <v>-0.000170731707317073</v>
      </c>
      <c r="AT401" s="32" t="str">
        <f t="shared" si="318"/>
        <v>0.0161422275461852i</v>
      </c>
      <c r="AU401" s="32">
        <f t="shared" si="342"/>
        <v>1.61422275461852E-2</v>
      </c>
      <c r="AV401" s="32">
        <f t="shared" si="343"/>
        <v>1.5707963267948966</v>
      </c>
      <c r="AW401" s="32" t="str">
        <f t="shared" si="319"/>
        <v>1+3.4368188620493i</v>
      </c>
      <c r="AX401" s="32">
        <f t="shared" si="344"/>
        <v>3.5793468525050556</v>
      </c>
      <c r="AY401" s="32">
        <f t="shared" si="345"/>
        <v>1.2876473860011333</v>
      </c>
      <c r="AZ401" s="32" t="str">
        <f t="shared" si="320"/>
        <v>1+65.2995583789368i</v>
      </c>
      <c r="BA401" s="32">
        <f t="shared" si="346"/>
        <v>65.307214949683583</v>
      </c>
      <c r="BB401" s="32">
        <f t="shared" si="347"/>
        <v>1.5554834845252841</v>
      </c>
      <c r="BC401" s="60" t="str">
        <f t="shared" si="348"/>
        <v>-0.0510707571033829+0.18609765427366i</v>
      </c>
      <c r="BD401" s="51">
        <f t="shared" si="349"/>
        <v>-14.289838068234982</v>
      </c>
      <c r="BE401" s="63">
        <f t="shared" si="350"/>
        <v>105.34587804668389</v>
      </c>
      <c r="BF401" s="60" t="str">
        <f t="shared" si="351"/>
        <v>0.0229495685689442-0.016010348996524i</v>
      </c>
      <c r="BG401" s="66">
        <f t="shared" si="352"/>
        <v>-31.062304881059507</v>
      </c>
      <c r="BH401" s="63">
        <f t="shared" si="353"/>
        <v>-34.900853443496544</v>
      </c>
      <c r="BI401" s="60" t="e">
        <f t="shared" si="357"/>
        <v>#NUM!</v>
      </c>
      <c r="BJ401" s="66" t="e">
        <f t="shared" si="354"/>
        <v>#NUM!</v>
      </c>
      <c r="BK401" s="63" t="e">
        <f t="shared" si="358"/>
        <v>#NUM!</v>
      </c>
      <c r="BL401" s="51">
        <f t="shared" si="355"/>
        <v>-31.062304881059507</v>
      </c>
      <c r="BM401" s="63">
        <f t="shared" si="356"/>
        <v>-34.900853443496544</v>
      </c>
    </row>
    <row r="402" spans="14:65" x14ac:dyDescent="0.3">
      <c r="N402" s="11">
        <v>84</v>
      </c>
      <c r="O402" s="52">
        <f t="shared" si="359"/>
        <v>69183.097091893651</v>
      </c>
      <c r="P402" s="50" t="str">
        <f t="shared" si="309"/>
        <v>23.3035714285714</v>
      </c>
      <c r="Q402" s="18" t="str">
        <f t="shared" si="310"/>
        <v>1+232.869760260517i</v>
      </c>
      <c r="R402" s="18">
        <f t="shared" si="321"/>
        <v>232.87190737354018</v>
      </c>
      <c r="S402" s="18">
        <f t="shared" si="322"/>
        <v>1.5665021073475103</v>
      </c>
      <c r="T402" s="18" t="str">
        <f t="shared" si="311"/>
        <v>1+0.434690219152965i</v>
      </c>
      <c r="U402" s="18">
        <f t="shared" si="323"/>
        <v>1.0903924002978251</v>
      </c>
      <c r="V402" s="18">
        <f t="shared" si="324"/>
        <v>0.41004963669545225</v>
      </c>
      <c r="W402" s="32" t="str">
        <f t="shared" si="312"/>
        <v>1-1.0625760912628i</v>
      </c>
      <c r="X402" s="18">
        <f t="shared" si="325"/>
        <v>1.4591326018300497</v>
      </c>
      <c r="Y402" s="18">
        <f t="shared" si="326"/>
        <v>-0.81572766390989637</v>
      </c>
      <c r="Z402" s="32" t="str">
        <f t="shared" si="313"/>
        <v>0.980854796307094+0.521508723173291i</v>
      </c>
      <c r="AA402" s="18">
        <f t="shared" si="327"/>
        <v>1.1108768967732054</v>
      </c>
      <c r="AB402" s="18">
        <f t="shared" si="328"/>
        <v>0.4886754809593622</v>
      </c>
      <c r="AC402" s="68" t="str">
        <f t="shared" si="329"/>
        <v>-0.111377893740435-0.0902028526675882i</v>
      </c>
      <c r="AD402" s="66">
        <f t="shared" si="330"/>
        <v>-16.873659466439559</v>
      </c>
      <c r="AE402" s="63">
        <f t="shared" si="331"/>
        <v>-140.9966407604399</v>
      </c>
      <c r="AF402" s="51" t="e">
        <f t="shared" si="332"/>
        <v>#NUM!</v>
      </c>
      <c r="AG402" s="51" t="str">
        <f t="shared" si="314"/>
        <v>1-326.017664364725i</v>
      </c>
      <c r="AH402" s="51">
        <f t="shared" si="333"/>
        <v>326.0191980203474</v>
      </c>
      <c r="AI402" s="51">
        <f t="shared" si="334"/>
        <v>-1.5677290179549943</v>
      </c>
      <c r="AJ402" s="51" t="str">
        <f t="shared" si="315"/>
        <v>1+0.434690219152965i</v>
      </c>
      <c r="AK402" s="51">
        <f t="shared" si="335"/>
        <v>1.0903924002978251</v>
      </c>
      <c r="AL402" s="51">
        <f t="shared" si="336"/>
        <v>0.41004963669545225</v>
      </c>
      <c r="AM402" s="51" t="e">
        <f t="shared" si="316"/>
        <v>#NUM!</v>
      </c>
      <c r="AN402" s="51" t="e">
        <f t="shared" si="337"/>
        <v>#NUM!</v>
      </c>
      <c r="AO402" s="51" t="e">
        <f t="shared" si="338"/>
        <v>#NUM!</v>
      </c>
      <c r="AP402" s="60" t="e">
        <f t="shared" si="339"/>
        <v>#NUM!</v>
      </c>
      <c r="AQ402" s="51" t="e">
        <f t="shared" si="340"/>
        <v>#NUM!</v>
      </c>
      <c r="AR402" s="63" t="e">
        <f t="shared" si="341"/>
        <v>#NUM!</v>
      </c>
      <c r="AS402" s="32" t="str">
        <f t="shared" si="317"/>
        <v>-0.000170731707317073</v>
      </c>
      <c r="AT402" s="32" t="str">
        <f t="shared" si="318"/>
        <v>0.0165182283278127i</v>
      </c>
      <c r="AU402" s="32">
        <f t="shared" si="342"/>
        <v>1.65182283278127E-2</v>
      </c>
      <c r="AV402" s="32">
        <f t="shared" si="343"/>
        <v>1.5707963267948966</v>
      </c>
      <c r="AW402" s="32" t="str">
        <f t="shared" si="319"/>
        <v>1+3.51687265727335i</v>
      </c>
      <c r="AX402" s="32">
        <f t="shared" si="344"/>
        <v>3.656281346871014</v>
      </c>
      <c r="AY402" s="32">
        <f t="shared" si="345"/>
        <v>1.2937644249010836</v>
      </c>
      <c r="AZ402" s="32" t="str">
        <f t="shared" si="320"/>
        <v>1+66.8205804881938i</v>
      </c>
      <c r="BA402" s="32">
        <f t="shared" si="346"/>
        <v>66.828062793853206</v>
      </c>
      <c r="BB402" s="32">
        <f t="shared" si="347"/>
        <v>1.5558319947308015</v>
      </c>
      <c r="BC402" s="60" t="str">
        <f t="shared" si="348"/>
        <v>-0.0489441344834008+0.182466245880038i</v>
      </c>
      <c r="BD402" s="51">
        <f t="shared" si="349"/>
        <v>-14.474600330016381</v>
      </c>
      <c r="BE402" s="63">
        <f t="shared" si="350"/>
        <v>105.0153656984928</v>
      </c>
      <c r="BF402" s="60" t="str">
        <f t="shared" si="351"/>
        <v>0.0219102705036348-0.0159078055930941i</v>
      </c>
      <c r="BG402" s="66">
        <f t="shared" si="352"/>
        <v>-31.348259796455935</v>
      </c>
      <c r="BH402" s="63">
        <f t="shared" si="353"/>
        <v>-35.981275061946988</v>
      </c>
      <c r="BI402" s="60" t="e">
        <f t="shared" si="357"/>
        <v>#NUM!</v>
      </c>
      <c r="BJ402" s="66" t="e">
        <f t="shared" si="354"/>
        <v>#NUM!</v>
      </c>
      <c r="BK402" s="63" t="e">
        <f t="shared" si="358"/>
        <v>#NUM!</v>
      </c>
      <c r="BL402" s="51">
        <f t="shared" si="355"/>
        <v>-31.348259796455935</v>
      </c>
      <c r="BM402" s="63">
        <f t="shared" si="356"/>
        <v>-35.981275061946988</v>
      </c>
    </row>
    <row r="403" spans="14:65" x14ac:dyDescent="0.3">
      <c r="N403" s="11">
        <v>85</v>
      </c>
      <c r="O403" s="52">
        <f t="shared" si="359"/>
        <v>70794.578438413781</v>
      </c>
      <c r="P403" s="50" t="str">
        <f t="shared" ref="P403:P466" si="360">COMPLEX(Adc,0)</f>
        <v>23.3035714285714</v>
      </c>
      <c r="Q403" s="18" t="str">
        <f t="shared" ref="Q403:Q466" si="361">IMSUM(COMPLEX(1,0),IMDIV(COMPLEX(0,2*PI()*O403),COMPLEX(wp_lf,0)))</f>
        <v>1+238.293993788686i</v>
      </c>
      <c r="R403" s="18">
        <f t="shared" si="321"/>
        <v>238.29609202788518</v>
      </c>
      <c r="S403" s="18">
        <f t="shared" si="322"/>
        <v>1.5665998545550068</v>
      </c>
      <c r="T403" s="18" t="str">
        <f t="shared" ref="T403:T466" si="362">IMSUM(COMPLEX(1,0),IMDIV(COMPLEX(0,2*PI()*O403),COMPLEX(wz_esr,0)))</f>
        <v>1+0.444815455072214i</v>
      </c>
      <c r="U403" s="18">
        <f t="shared" si="323"/>
        <v>1.094468267731459</v>
      </c>
      <c r="V403" s="18">
        <f t="shared" si="324"/>
        <v>0.41853409991404339</v>
      </c>
      <c r="W403" s="32" t="str">
        <f t="shared" ref="W403:W466" si="363">IMSUB(COMPLEX(1,0),IMDIV(COMPLEX(0,2*PI()*O403),COMPLEX(wz_rhp,0)))</f>
        <v>1-1.0873266679543i</v>
      </c>
      <c r="X403" s="18">
        <f t="shared" si="325"/>
        <v>1.4772539669415685</v>
      </c>
      <c r="Y403" s="18">
        <f t="shared" si="326"/>
        <v>-0.82721038828420146</v>
      </c>
      <c r="Z403" s="32" t="str">
        <f t="shared" ref="Z403:Z466" si="364">IMSUM(COMPLEX(1,0),IMDIV(COMPLEX(0,2*PI()*O403),COMPLEX(Q*(wsl/2),0)),IMDIV(IMPOWER(COMPLEX(0,2*PI()*O403),2),IMPOWER(COMPLEX(wsl/2,0),2)))</f>
        <v>0.979952510654909+0.533656221836512i</v>
      </c>
      <c r="AA403" s="18">
        <f t="shared" si="327"/>
        <v>1.1158386470470001</v>
      </c>
      <c r="AB403" s="18">
        <f t="shared" si="328"/>
        <v>0.49866748983538833</v>
      </c>
      <c r="AC403" s="68" t="str">
        <f t="shared" si="329"/>
        <v>-0.111272212282524-0.0877308701202463i</v>
      </c>
      <c r="AD403" s="66">
        <f t="shared" si="330"/>
        <v>-16.972749904834338</v>
      </c>
      <c r="AE403" s="63">
        <f t="shared" si="331"/>
        <v>-141.74652891044269</v>
      </c>
      <c r="AF403" s="51" t="e">
        <f t="shared" si="332"/>
        <v>#NUM!</v>
      </c>
      <c r="AG403" s="51" t="str">
        <f t="shared" ref="AG403:AG466" si="365">IMSUM(COMPLEX(1,0),IMDIV(COMPLEX(0,2*PI()*O403),COMPLEX(wp_lf_DCM,0)))</f>
        <v>1-333.611591304161i</v>
      </c>
      <c r="AH403" s="51">
        <f t="shared" si="333"/>
        <v>333.61309004967796</v>
      </c>
      <c r="AI403" s="51">
        <f t="shared" si="334"/>
        <v>-1.5677988380052856</v>
      </c>
      <c r="AJ403" s="51" t="str">
        <f t="shared" ref="AJ403:AJ466" si="366">IMSUM(COMPLEX(1,0),IMDIV(COMPLEX(0,2*PI()*O403),COMPLEX(wz1_dcm,0)))</f>
        <v>1+0.444815455072214i</v>
      </c>
      <c r="AK403" s="51">
        <f t="shared" si="335"/>
        <v>1.094468267731459</v>
      </c>
      <c r="AL403" s="51">
        <f t="shared" si="336"/>
        <v>0.41853409991404339</v>
      </c>
      <c r="AM403" s="51" t="e">
        <f t="shared" ref="AM403:AM466" si="367">IMSUB(COMPLEX(1,0),IMDIV(COMPLEX(0,2*PI()*O403),COMPLEX(wz2_dcm,0)))</f>
        <v>#NUM!</v>
      </c>
      <c r="AN403" s="51" t="e">
        <f t="shared" si="337"/>
        <v>#NUM!</v>
      </c>
      <c r="AO403" s="51" t="e">
        <f t="shared" si="338"/>
        <v>#NUM!</v>
      </c>
      <c r="AP403" s="60" t="e">
        <f t="shared" si="339"/>
        <v>#NUM!</v>
      </c>
      <c r="AQ403" s="51" t="e">
        <f t="shared" si="340"/>
        <v>#NUM!</v>
      </c>
      <c r="AR403" s="63" t="e">
        <f t="shared" si="341"/>
        <v>#NUM!</v>
      </c>
      <c r="AS403" s="32" t="str">
        <f t="shared" ref="AS403:AS466" si="368">COMPLEX(Adc_ea,0)</f>
        <v>-0.000170731707317073</v>
      </c>
      <c r="AT403" s="32" t="str">
        <f t="shared" ref="AT403:AT466" si="369">COMPLEX(0,2*PI()*O403*wp0_ea)</f>
        <v>0.0169029872927441i</v>
      </c>
      <c r="AU403" s="32">
        <f t="shared" si="342"/>
        <v>1.6902987292744101E-2</v>
      </c>
      <c r="AV403" s="32">
        <f t="shared" si="343"/>
        <v>1.5707963267948966</v>
      </c>
      <c r="AW403" s="32" t="str">
        <f t="shared" ref="AW403:AW466" si="370">IMSUM(COMPLEX(1,0),IMDIV(COMPLEX(0,2*PI()*O403),COMPLEX(wp1_ea,0)))</f>
        <v>1+3.59879114493161i</v>
      </c>
      <c r="AX403" s="32">
        <f t="shared" si="344"/>
        <v>3.7351435989581669</v>
      </c>
      <c r="AY403" s="32">
        <f t="shared" si="345"/>
        <v>1.2997628552508667</v>
      </c>
      <c r="AZ403" s="32" t="str">
        <f t="shared" ref="AZ403:AZ466" si="371">IMSUM(COMPLEX(1,0),IMDIV(COMPLEX(0,2*PI()*O403),COMPLEX(wz_ea,0)))</f>
        <v>1+68.3770317537008i</v>
      </c>
      <c r="BA403" s="32">
        <f t="shared" si="346"/>
        <v>68.384343759713076</v>
      </c>
      <c r="BB403" s="32">
        <f t="shared" si="347"/>
        <v>1.5561725753883751</v>
      </c>
      <c r="BC403" s="60" t="str">
        <f t="shared" si="348"/>
        <v>-0.0468991811896008+0.178881040432496i</v>
      </c>
      <c r="BD403" s="51">
        <f t="shared" si="349"/>
        <v>-14.659998022559588</v>
      </c>
      <c r="BE403" s="63">
        <f t="shared" si="350"/>
        <v>104.69119479000994</v>
      </c>
      <c r="BF403" s="60" t="str">
        <f t="shared" si="351"/>
        <v>0.0209119649703636-0.0157899831306327i</v>
      </c>
      <c r="BG403" s="66">
        <f t="shared" si="352"/>
        <v>-31.632747927393936</v>
      </c>
      <c r="BH403" s="63">
        <f t="shared" si="353"/>
        <v>-37.055334120432818</v>
      </c>
      <c r="BI403" s="60" t="e">
        <f t="shared" si="357"/>
        <v>#NUM!</v>
      </c>
      <c r="BJ403" s="66" t="e">
        <f t="shared" si="354"/>
        <v>#NUM!</v>
      </c>
      <c r="BK403" s="63" t="e">
        <f t="shared" si="358"/>
        <v>#NUM!</v>
      </c>
      <c r="BL403" s="51">
        <f t="shared" si="355"/>
        <v>-31.632747927393936</v>
      </c>
      <c r="BM403" s="63">
        <f t="shared" si="356"/>
        <v>-37.055334120432818</v>
      </c>
    </row>
    <row r="404" spans="14:65" x14ac:dyDescent="0.3">
      <c r="N404" s="11">
        <v>86</v>
      </c>
      <c r="O404" s="52">
        <f t="shared" si="359"/>
        <v>72443.596007499116</v>
      </c>
      <c r="P404" s="50" t="str">
        <f t="shared" si="360"/>
        <v>23.3035714285714</v>
      </c>
      <c r="Q404" s="18" t="str">
        <f t="shared" si="361"/>
        <v>1+243.844573946556i</v>
      </c>
      <c r="R404" s="18">
        <f t="shared" ref="R404:R467" si="372">IMABS(Q404)</f>
        <v>243.8466244244062</v>
      </c>
      <c r="S404" s="18">
        <f t="shared" ref="S404:S467" si="373">IMARGUMENT(Q404)</f>
        <v>1.5666953768419043</v>
      </c>
      <c r="T404" s="18" t="str">
        <f t="shared" si="362"/>
        <v>1+0.455176538033572i</v>
      </c>
      <c r="U404" s="18">
        <f t="shared" ref="U404:U467" si="374">IMABS(T404)</f>
        <v>1.0987200192843616</v>
      </c>
      <c r="V404" s="18">
        <f t="shared" ref="V404:V467" si="375">IMARGUMENT(T404)</f>
        <v>0.42715039001430821</v>
      </c>
      <c r="W404" s="32" t="str">
        <f t="shared" si="363"/>
        <v>1-1.11265375963762i</v>
      </c>
      <c r="X404" s="18">
        <f t="shared" ref="X404:X467" si="376">IMABS(W404)</f>
        <v>1.4959941139041057</v>
      </c>
      <c r="Y404" s="18">
        <f t="shared" ref="Y404:Y467" si="377">IMARGUMENT(W404)</f>
        <v>-0.83867105228095673</v>
      </c>
      <c r="Z404" s="32" t="str">
        <f t="shared" si="364"/>
        <v>0.979007701590009+0.546086672092327i</v>
      </c>
      <c r="AA404" s="18">
        <f t="shared" ref="AA404:AA467" si="378">IMABS(Z404)</f>
        <v>1.1210114777331339</v>
      </c>
      <c r="AB404" s="18">
        <f t="shared" ref="AB404:AB467" si="379">IMARGUMENT(Z404)</f>
        <v>0.50880898544357289</v>
      </c>
      <c r="AC404" s="68" t="str">
        <f t="shared" ref="AC404:AC467" si="380">(IMDIV(IMPRODUCT(P404,T404,W404),IMPRODUCT(Q404,Z404)))</f>
        <v>-0.111161962573202-0.0853097890476134i</v>
      </c>
      <c r="AD404" s="66">
        <f t="shared" ref="AD404:AD467" si="381">20*LOG(IMABS(AC404))</f>
        <v>-17.069748003002349</v>
      </c>
      <c r="AE404" s="63">
        <f t="shared" ref="AE404:AE467" si="382">(180/PI())*IMARGUMENT(AC404)</f>
        <v>-142.49603745025684</v>
      </c>
      <c r="AF404" s="51" t="e">
        <f t="shared" ref="AF404:AF467" si="383">COMPLEX($B$68,0)</f>
        <v>#NUM!</v>
      </c>
      <c r="AG404" s="51" t="str">
        <f t="shared" si="365"/>
        <v>1-341.38240352518i</v>
      </c>
      <c r="AH404" s="51">
        <f t="shared" ref="AH404:AH467" si="384">IMABS(AG404)</f>
        <v>341.38386815523199</v>
      </c>
      <c r="AI404" s="51">
        <f t="shared" ref="AI404:AI467" si="385">IMARGUMENT(AG404)</f>
        <v>-1.5678670687854386</v>
      </c>
      <c r="AJ404" s="51" t="str">
        <f t="shared" si="366"/>
        <v>1+0.455176538033572i</v>
      </c>
      <c r="AK404" s="51">
        <f t="shared" ref="AK404:AK467" si="386">IMABS(AJ404)</f>
        <v>1.0987200192843616</v>
      </c>
      <c r="AL404" s="51">
        <f t="shared" ref="AL404:AL467" si="387">IMARGUMENT(AJ404)</f>
        <v>0.42715039001430821</v>
      </c>
      <c r="AM404" s="51" t="e">
        <f t="shared" si="367"/>
        <v>#NUM!</v>
      </c>
      <c r="AN404" s="51" t="e">
        <f t="shared" ref="AN404:AN467" si="388">IMABS(AM404)</f>
        <v>#NUM!</v>
      </c>
      <c r="AO404" s="51" t="e">
        <f t="shared" ref="AO404:AO467" si="389">IMARGUMENT(AM404)</f>
        <v>#NUM!</v>
      </c>
      <c r="AP404" s="60" t="e">
        <f t="shared" ref="AP404:AP467" si="390">(IMDIV(IMPRODUCT(AF404,AJ404,AM404),IMPRODUCT(AG404)))</f>
        <v>#NUM!</v>
      </c>
      <c r="AQ404" s="51" t="e">
        <f t="shared" ref="AQ404:AQ467" si="391">20*LOG(IMABS(AP404))</f>
        <v>#NUM!</v>
      </c>
      <c r="AR404" s="63" t="e">
        <f t="shared" ref="AR404:AR467" si="392">(180/PI())*IMARGUMENT(AP404)</f>
        <v>#NUM!</v>
      </c>
      <c r="AS404" s="32" t="str">
        <f t="shared" si="368"/>
        <v>-0.000170731707317073</v>
      </c>
      <c r="AT404" s="32" t="str">
        <f t="shared" si="369"/>
        <v>0.0172967084452757i</v>
      </c>
      <c r="AU404" s="32">
        <f t="shared" ref="AU404:AU467" si="393">IMABS(AT404)</f>
        <v>1.7296708445275699E-2</v>
      </c>
      <c r="AV404" s="32">
        <f t="shared" ref="AV404:AV467" si="394">IMARGUMENT(AT404)</f>
        <v>1.5707963267948966</v>
      </c>
      <c r="AW404" s="32" t="str">
        <f t="shared" si="370"/>
        <v>1+3.68261775929056i</v>
      </c>
      <c r="AX404" s="32">
        <f t="shared" ref="AX404:AX467" si="395">IMABS(AW404)</f>
        <v>3.8159760954495279</v>
      </c>
      <c r="AY404" s="32">
        <f t="shared" ref="AY404:AY467" si="396">IMARGUMENT(AW404)</f>
        <v>1.3056441301723778</v>
      </c>
      <c r="AZ404" s="32" t="str">
        <f t="shared" si="371"/>
        <v>1+69.9697374265207i</v>
      </c>
      <c r="BA404" s="32">
        <f t="shared" ref="BA404:BA467" si="397">IMABS(AZ404)</f>
        <v>69.976883008149571</v>
      </c>
      <c r="BB404" s="32">
        <f t="shared" ref="BB404:BB467" si="398">IMARGUMENT(AZ404)</f>
        <v>1.5565054067621509</v>
      </c>
      <c r="BC404" s="60" t="str">
        <f t="shared" ref="BC404:BC467" si="399">IMPRODUCT(AS404,IMDIV(AZ404,IMPRODUCT(AT404,AW404)))</f>
        <v>-0.0449333269384481+0.17534303062726i</v>
      </c>
      <c r="BD404" s="51">
        <f t="shared" ref="BD404:BD467" si="400">20*LOG(IMABS(BC404))</f>
        <v>-14.846006668563623</v>
      </c>
      <c r="BE404" s="63">
        <f t="shared" ref="BE404:BE467" si="401">(180/PI())*IMARGUMENT(BC404)</f>
        <v>104.37329239185802</v>
      </c>
      <c r="BF404" s="60" t="str">
        <f t="shared" ref="BF404:BF467" si="402">IMPRODUCT(AC404,BC404)</f>
        <v>0.019953353761202-0.0156582227657328i</v>
      </c>
      <c r="BG404" s="66">
        <f t="shared" ref="BG404:BG467" si="403">20*LOG(IMABS(BF404))</f>
        <v>-31.915754671565971</v>
      </c>
      <c r="BH404" s="63">
        <f t="shared" ref="BH404:BH467" si="404">(180/PI())*IMARGUMENT(BF404)</f>
        <v>-38.122745058398714</v>
      </c>
      <c r="BI404" s="60" t="e">
        <f t="shared" si="357"/>
        <v>#NUM!</v>
      </c>
      <c r="BJ404" s="66" t="e">
        <f t="shared" ref="BJ404:BJ467" si="405">20*LOG(IMABS(BI404))</f>
        <v>#NUM!</v>
      </c>
      <c r="BK404" s="63" t="e">
        <f t="shared" si="358"/>
        <v>#NUM!</v>
      </c>
      <c r="BL404" s="51">
        <f t="shared" ref="BL404:BL467" si="406">IF($B$31=0,BJ404,BG404)</f>
        <v>-31.915754671565971</v>
      </c>
      <c r="BM404" s="63">
        <f t="shared" ref="BM404:BM467" si="407">IF($B$31=0,BK404,BH404)</f>
        <v>-38.122745058398714</v>
      </c>
    </row>
    <row r="405" spans="14:65" x14ac:dyDescent="0.3">
      <c r="N405" s="11">
        <v>87</v>
      </c>
      <c r="O405" s="52">
        <f t="shared" si="359"/>
        <v>74131.024130091857</v>
      </c>
      <c r="P405" s="50" t="str">
        <f t="shared" si="360"/>
        <v>23.3035714285714</v>
      </c>
      <c r="Q405" s="18" t="str">
        <f t="shared" si="361"/>
        <v>1+249.524443725197i</v>
      </c>
      <c r="R405" s="18">
        <f t="shared" si="372"/>
        <v>249.52644752885215</v>
      </c>
      <c r="S405" s="18">
        <f t="shared" si="373"/>
        <v>1.5667887248484071</v>
      </c>
      <c r="T405" s="18" t="str">
        <f t="shared" si="362"/>
        <v>1+0.465778961620369i</v>
      </c>
      <c r="U405" s="18">
        <f t="shared" si="374"/>
        <v>1.1031545862154357</v>
      </c>
      <c r="V405" s="18">
        <f t="shared" si="375"/>
        <v>0.43589795700952311</v>
      </c>
      <c r="W405" s="32" t="str">
        <f t="shared" si="363"/>
        <v>1-1.13857079507201i</v>
      </c>
      <c r="X405" s="18">
        <f t="shared" si="376"/>
        <v>1.515369082234064</v>
      </c>
      <c r="Y405" s="18">
        <f t="shared" si="377"/>
        <v>-0.85010369091346893</v>
      </c>
      <c r="Z405" s="32" t="str">
        <f t="shared" si="364"/>
        <v>0.978018365045695+0.558806664729997i</v>
      </c>
      <c r="AA405" s="18">
        <f t="shared" si="378"/>
        <v>1.1264034849525801</v>
      </c>
      <c r="AB405" s="18">
        <f t="shared" si="379"/>
        <v>0.51909911607693071</v>
      </c>
      <c r="AC405" s="68" t="str">
        <f t="shared" si="380"/>
        <v>-0.111047156904584-0.0829385134257856i</v>
      </c>
      <c r="AD405" s="66">
        <f t="shared" si="381"/>
        <v>-17.164665748199269</v>
      </c>
      <c r="AE405" s="63">
        <f t="shared" si="382"/>
        <v>-143.24481022549219</v>
      </c>
      <c r="AF405" s="51" t="e">
        <f t="shared" si="383"/>
        <v>#NUM!</v>
      </c>
      <c r="AG405" s="51" t="str">
        <f t="shared" si="365"/>
        <v>1-349.334221215278i</v>
      </c>
      <c r="AH405" s="51">
        <f t="shared" si="384"/>
        <v>349.33565250641794</v>
      </c>
      <c r="AI405" s="51">
        <f t="shared" si="385"/>
        <v>-1.5679337464697733</v>
      </c>
      <c r="AJ405" s="51" t="str">
        <f t="shared" si="366"/>
        <v>1+0.465778961620369i</v>
      </c>
      <c r="AK405" s="51">
        <f t="shared" si="386"/>
        <v>1.1031545862154357</v>
      </c>
      <c r="AL405" s="51">
        <f t="shared" si="387"/>
        <v>0.43589795700952311</v>
      </c>
      <c r="AM405" s="51" t="e">
        <f t="shared" si="367"/>
        <v>#NUM!</v>
      </c>
      <c r="AN405" s="51" t="e">
        <f t="shared" si="388"/>
        <v>#NUM!</v>
      </c>
      <c r="AO405" s="51" t="e">
        <f t="shared" si="389"/>
        <v>#NUM!</v>
      </c>
      <c r="AP405" s="60" t="e">
        <f t="shared" si="390"/>
        <v>#NUM!</v>
      </c>
      <c r="AQ405" s="51" t="e">
        <f t="shared" si="391"/>
        <v>#NUM!</v>
      </c>
      <c r="AR405" s="63" t="e">
        <f t="shared" si="392"/>
        <v>#NUM!</v>
      </c>
      <c r="AS405" s="32" t="str">
        <f t="shared" si="368"/>
        <v>-0.000170731707317073</v>
      </c>
      <c r="AT405" s="32" t="str">
        <f t="shared" si="369"/>
        <v>0.017699600541574i</v>
      </c>
      <c r="AU405" s="32">
        <f t="shared" si="393"/>
        <v>1.7699600541574E-2</v>
      </c>
      <c r="AV405" s="32">
        <f t="shared" si="394"/>
        <v>1.5707963267948966</v>
      </c>
      <c r="AW405" s="32" t="str">
        <f t="shared" si="370"/>
        <v>1+3.76839694633069i</v>
      </c>
      <c r="AX405" s="32">
        <f t="shared" si="395"/>
        <v>3.8988223279747523</v>
      </c>
      <c r="AY405" s="32">
        <f t="shared" si="396"/>
        <v>1.3114097399042131</v>
      </c>
      <c r="AZ405" s="32" t="str">
        <f t="shared" si="371"/>
        <v>1+71.5995419802831i</v>
      </c>
      <c r="BA405" s="32">
        <f t="shared" si="397"/>
        <v>71.60652492466258</v>
      </c>
      <c r="BB405" s="32">
        <f t="shared" si="398"/>
        <v>1.5568306650285992</v>
      </c>
      <c r="BC405" s="60" t="str">
        <f t="shared" si="399"/>
        <v>-0.0430440351668866+0.171853087546396i</v>
      </c>
      <c r="BD405" s="51">
        <f t="shared" si="400"/>
        <v>-15.032602567162424</v>
      </c>
      <c r="BE405" s="63">
        <f t="shared" si="401"/>
        <v>104.06158321382344</v>
      </c>
      <c r="BF405" s="60" t="str">
        <f t="shared" si="402"/>
        <v>0.0190331573357132-0.015513788488713i</v>
      </c>
      <c r="BG405" s="66">
        <f t="shared" si="403"/>
        <v>-32.19726831536169</v>
      </c>
      <c r="BH405" s="63">
        <f t="shared" si="404"/>
        <v>-39.18322701166862</v>
      </c>
      <c r="BI405" s="60" t="e">
        <f t="shared" si="357"/>
        <v>#NUM!</v>
      </c>
      <c r="BJ405" s="66" t="e">
        <f t="shared" si="405"/>
        <v>#NUM!</v>
      </c>
      <c r="BK405" s="63" t="e">
        <f t="shared" si="358"/>
        <v>#NUM!</v>
      </c>
      <c r="BL405" s="51">
        <f t="shared" si="406"/>
        <v>-32.19726831536169</v>
      </c>
      <c r="BM405" s="63">
        <f t="shared" si="407"/>
        <v>-39.18322701166862</v>
      </c>
    </row>
    <row r="406" spans="14:65" x14ac:dyDescent="0.3">
      <c r="N406" s="11">
        <v>88</v>
      </c>
      <c r="O406" s="52">
        <f t="shared" si="359"/>
        <v>75857.757502918481</v>
      </c>
      <c r="P406" s="50" t="str">
        <f t="shared" si="360"/>
        <v>23.3035714285714</v>
      </c>
      <c r="Q406" s="18" t="str">
        <f t="shared" si="361"/>
        <v>1+255.336614666747i</v>
      </c>
      <c r="R406" s="18">
        <f t="shared" si="372"/>
        <v>255.3385728586162</v>
      </c>
      <c r="S406" s="18">
        <f t="shared" si="373"/>
        <v>1.5668799480623525</v>
      </c>
      <c r="T406" s="18" t="str">
        <f t="shared" si="362"/>
        <v>1+0.476628347377929i</v>
      </c>
      <c r="U406" s="18">
        <f t="shared" si="374"/>
        <v>1.1077791212711203</v>
      </c>
      <c r="V406" s="18">
        <f t="shared" si="375"/>
        <v>0.44477608304330041</v>
      </c>
      <c r="W406" s="32" t="str">
        <f t="shared" si="363"/>
        <v>1-1.16509151581272i</v>
      </c>
      <c r="X406" s="18">
        <f t="shared" si="376"/>
        <v>1.5353951413948075</v>
      </c>
      <c r="Y406" s="18">
        <f t="shared" si="377"/>
        <v>-0.86150241241920911</v>
      </c>
      <c r="Z406" s="32" t="str">
        <f t="shared" si="364"/>
        <v>0.976982402506514+0.571822944057986i</v>
      </c>
      <c r="AA406" s="18">
        <f t="shared" si="378"/>
        <v>1.1320230095534907</v>
      </c>
      <c r="AB406" s="18">
        <f t="shared" si="379"/>
        <v>0.52953684771777643</v>
      </c>
      <c r="AC406" s="68" t="str">
        <f t="shared" si="380"/>
        <v>-0.110927811753762-0.0806159767265329i</v>
      </c>
      <c r="AD406" s="66">
        <f t="shared" si="381"/>
        <v>-17.257517177709317</v>
      </c>
      <c r="AE406" s="63">
        <f t="shared" si="382"/>
        <v>-143.99249438375884</v>
      </c>
      <c r="AF406" s="51" t="e">
        <f t="shared" si="383"/>
        <v>#NUM!</v>
      </c>
      <c r="AG406" s="51" t="str">
        <f t="shared" si="365"/>
        <v>1-357.471260533448i</v>
      </c>
      <c r="AH406" s="51">
        <f t="shared" si="384"/>
        <v>357.47265924455297</v>
      </c>
      <c r="AI406" s="51">
        <f t="shared" si="385"/>
        <v>-1.5679989064093078</v>
      </c>
      <c r="AJ406" s="51" t="str">
        <f t="shared" si="366"/>
        <v>1+0.476628347377929i</v>
      </c>
      <c r="AK406" s="51">
        <f t="shared" si="386"/>
        <v>1.1077791212711203</v>
      </c>
      <c r="AL406" s="51">
        <f t="shared" si="387"/>
        <v>0.44477608304330041</v>
      </c>
      <c r="AM406" s="51" t="e">
        <f t="shared" si="367"/>
        <v>#NUM!</v>
      </c>
      <c r="AN406" s="51" t="e">
        <f t="shared" si="388"/>
        <v>#NUM!</v>
      </c>
      <c r="AO406" s="51" t="e">
        <f t="shared" si="389"/>
        <v>#NUM!</v>
      </c>
      <c r="AP406" s="60" t="e">
        <f t="shared" si="390"/>
        <v>#NUM!</v>
      </c>
      <c r="AQ406" s="51" t="e">
        <f t="shared" si="391"/>
        <v>#NUM!</v>
      </c>
      <c r="AR406" s="63" t="e">
        <f t="shared" si="392"/>
        <v>#NUM!</v>
      </c>
      <c r="AS406" s="32" t="str">
        <f t="shared" si="368"/>
        <v>-0.000170731707317073</v>
      </c>
      <c r="AT406" s="32" t="str">
        <f t="shared" si="369"/>
        <v>0.0181118772003613i</v>
      </c>
      <c r="AU406" s="32">
        <f t="shared" si="393"/>
        <v>1.8111877200361299E-2</v>
      </c>
      <c r="AV406" s="32">
        <f t="shared" si="394"/>
        <v>1.5707963267948966</v>
      </c>
      <c r="AW406" s="32" t="str">
        <f t="shared" si="370"/>
        <v>1+3.85617418731238i</v>
      </c>
      <c r="AX406" s="32">
        <f t="shared" si="395"/>
        <v>3.9837268183064833</v>
      </c>
      <c r="AY406" s="32">
        <f t="shared" si="396"/>
        <v>1.317061207528152</v>
      </c>
      <c r="AZ406" s="32" t="str">
        <f t="shared" si="371"/>
        <v>1+73.2673095589353i</v>
      </c>
      <c r="BA406" s="32">
        <f t="shared" si="397"/>
        <v>73.274133567070251</v>
      </c>
      <c r="BB406" s="32">
        <f t="shared" si="398"/>
        <v>1.5571485223685202</v>
      </c>
      <c r="BC406" s="60" t="str">
        <f t="shared" si="399"/>
        <v>-0.0412288069849914+0.168411966618619i</v>
      </c>
      <c r="BD406" s="51">
        <f t="shared" si="400"/>
        <v>-15.219762783188504</v>
      </c>
      <c r="BE406" s="63">
        <f t="shared" si="401"/>
        <v>103.75598985498169</v>
      </c>
      <c r="BF406" s="60" t="str">
        <f t="shared" si="402"/>
        <v>0.0181501165214595-0.0153578703857862i</v>
      </c>
      <c r="BG406" s="66">
        <f t="shared" si="403"/>
        <v>-32.477279960897846</v>
      </c>
      <c r="BH406" s="63">
        <f t="shared" si="404"/>
        <v>-40.236504528777139</v>
      </c>
      <c r="BI406" s="60" t="e">
        <f t="shared" si="357"/>
        <v>#NUM!</v>
      </c>
      <c r="BJ406" s="66" t="e">
        <f t="shared" si="405"/>
        <v>#NUM!</v>
      </c>
      <c r="BK406" s="63" t="e">
        <f t="shared" si="358"/>
        <v>#NUM!</v>
      </c>
      <c r="BL406" s="51">
        <f t="shared" si="406"/>
        <v>-32.477279960897846</v>
      </c>
      <c r="BM406" s="63">
        <f t="shared" si="407"/>
        <v>-40.236504528777139</v>
      </c>
    </row>
    <row r="407" spans="14:65" x14ac:dyDescent="0.3">
      <c r="N407" s="11">
        <v>89</v>
      </c>
      <c r="O407" s="52">
        <f t="shared" si="359"/>
        <v>77624.711662869129</v>
      </c>
      <c r="P407" s="50" t="str">
        <f t="shared" si="360"/>
        <v>23.3035714285714</v>
      </c>
      <c r="Q407" s="18" t="str">
        <f t="shared" si="361"/>
        <v>1+261.284168461173i</v>
      </c>
      <c r="R407" s="18">
        <f t="shared" si="372"/>
        <v>261.28608207948361</v>
      </c>
      <c r="S407" s="18">
        <f t="shared" si="373"/>
        <v>1.5669690948454198</v>
      </c>
      <c r="T407" s="18" t="str">
        <f t="shared" si="362"/>
        <v>1+0.487730447794191i</v>
      </c>
      <c r="U407" s="18">
        <f t="shared" si="374"/>
        <v>1.1126010020243204</v>
      </c>
      <c r="V407" s="18">
        <f t="shared" si="375"/>
        <v>0.45378387613590931</v>
      </c>
      <c r="W407" s="32" t="str">
        <f t="shared" si="363"/>
        <v>1-1.19222998349691i</v>
      </c>
      <c r="X407" s="18">
        <f t="shared" si="376"/>
        <v>1.5560887935940679</v>
      </c>
      <c r="Y407" s="18">
        <f t="shared" si="377"/>
        <v>-0.87286141307824905</v>
      </c>
      <c r="Z407" s="32" t="str">
        <f t="shared" si="364"/>
        <v>0.975897616557026+0.585142411479886i</v>
      </c>
      <c r="AA407" s="18">
        <f t="shared" si="378"/>
        <v>1.1378786401520069</v>
      </c>
      <c r="AB407" s="18">
        <f t="shared" si="379"/>
        <v>0.54012095957818695</v>
      </c>
      <c r="AC407" s="68" t="str">
        <f t="shared" si="380"/>
        <v>-0.11080394821572-0.0783411409534658i</v>
      </c>
      <c r="AD407" s="66">
        <f t="shared" si="381"/>
        <v>-17.348318307490352</v>
      </c>
      <c r="AE407" s="63">
        <f t="shared" si="382"/>
        <v>-144.7387413279973</v>
      </c>
      <c r="AF407" s="51" t="e">
        <f t="shared" si="383"/>
        <v>#NUM!</v>
      </c>
      <c r="AG407" s="51" t="str">
        <f t="shared" si="365"/>
        <v>1-365.797835845644i</v>
      </c>
      <c r="AH407" s="51">
        <f t="shared" si="384"/>
        <v>365.79920271831747</v>
      </c>
      <c r="AI407" s="51">
        <f t="shared" si="385"/>
        <v>-1.5680625831504902</v>
      </c>
      <c r="AJ407" s="51" t="str">
        <f t="shared" si="366"/>
        <v>1+0.487730447794191i</v>
      </c>
      <c r="AK407" s="51">
        <f t="shared" si="386"/>
        <v>1.1126010020243204</v>
      </c>
      <c r="AL407" s="51">
        <f t="shared" si="387"/>
        <v>0.45378387613590931</v>
      </c>
      <c r="AM407" s="51" t="e">
        <f t="shared" si="367"/>
        <v>#NUM!</v>
      </c>
      <c r="AN407" s="51" t="e">
        <f t="shared" si="388"/>
        <v>#NUM!</v>
      </c>
      <c r="AO407" s="51" t="e">
        <f t="shared" si="389"/>
        <v>#NUM!</v>
      </c>
      <c r="AP407" s="60" t="e">
        <f t="shared" si="390"/>
        <v>#NUM!</v>
      </c>
      <c r="AQ407" s="51" t="e">
        <f t="shared" si="391"/>
        <v>#NUM!</v>
      </c>
      <c r="AR407" s="63" t="e">
        <f t="shared" si="392"/>
        <v>#NUM!</v>
      </c>
      <c r="AS407" s="32" t="str">
        <f t="shared" si="368"/>
        <v>-0.000170731707317073</v>
      </c>
      <c r="AT407" s="32" t="str">
        <f t="shared" si="369"/>
        <v>0.0185337570161793i</v>
      </c>
      <c r="AU407" s="32">
        <f t="shared" si="393"/>
        <v>1.8533757016179299E-2</v>
      </c>
      <c r="AV407" s="32">
        <f t="shared" si="394"/>
        <v>1.5707963267948966</v>
      </c>
      <c r="AW407" s="32" t="str">
        <f t="shared" si="370"/>
        <v>1+3.94599602289068i</v>
      </c>
      <c r="AX407" s="32">
        <f t="shared" si="395"/>
        <v>4.0707351440088884</v>
      </c>
      <c r="AY407" s="32">
        <f t="shared" si="396"/>
        <v>1.322600084906624</v>
      </c>
      <c r="AZ407" s="32" t="str">
        <f t="shared" si="371"/>
        <v>1+74.9739244349231i</v>
      </c>
      <c r="BA407" s="32">
        <f t="shared" si="397"/>
        <v>74.980593123644738</v>
      </c>
      <c r="BB407" s="32">
        <f t="shared" si="398"/>
        <v>1.557459147057022</v>
      </c>
      <c r="BC407" s="60" t="str">
        <f t="shared" si="399"/>
        <v>-0.0394851846587007+0.165020313517321i</v>
      </c>
      <c r="BD407" s="51">
        <f t="shared" si="400"/>
        <v>-15.407465135292655</v>
      </c>
      <c r="BE407" s="63">
        <f t="shared" si="401"/>
        <v>103.45643304161842</v>
      </c>
      <c r="BF407" s="60" t="str">
        <f t="shared" si="402"/>
        <v>0.0173029939976564-0.0151915878565942i</v>
      </c>
      <c r="BG407" s="66">
        <f t="shared" si="403"/>
        <v>-32.755783442783006</v>
      </c>
      <c r="BH407" s="63">
        <f t="shared" si="404"/>
        <v>-41.2823082863788</v>
      </c>
      <c r="BI407" s="60" t="e">
        <f t="shared" si="357"/>
        <v>#NUM!</v>
      </c>
      <c r="BJ407" s="66" t="e">
        <f t="shared" si="405"/>
        <v>#NUM!</v>
      </c>
      <c r="BK407" s="63" t="e">
        <f t="shared" si="358"/>
        <v>#NUM!</v>
      </c>
      <c r="BL407" s="51">
        <f t="shared" si="406"/>
        <v>-32.755783442783006</v>
      </c>
      <c r="BM407" s="63">
        <f t="shared" si="407"/>
        <v>-41.2823082863788</v>
      </c>
    </row>
    <row r="408" spans="14:65" x14ac:dyDescent="0.3">
      <c r="N408" s="11">
        <v>90</v>
      </c>
      <c r="O408" s="52">
        <f t="shared" si="359"/>
        <v>79432.823472428237</v>
      </c>
      <c r="P408" s="50" t="str">
        <f t="shared" si="360"/>
        <v>23.3035714285714</v>
      </c>
      <c r="Q408" s="18" t="str">
        <f t="shared" si="361"/>
        <v>1+267.370258580223i</v>
      </c>
      <c r="R408" s="18">
        <f t="shared" si="372"/>
        <v>267.37212863957097</v>
      </c>
      <c r="S408" s="18">
        <f t="shared" si="373"/>
        <v>1.5670562124587422</v>
      </c>
      <c r="T408" s="18" t="str">
        <f t="shared" si="362"/>
        <v>1+0.499091149349751i</v>
      </c>
      <c r="U408" s="18">
        <f t="shared" si="374"/>
        <v>1.1176278340124031</v>
      </c>
      <c r="V408" s="18">
        <f t="shared" si="375"/>
        <v>0.46292026418970106</v>
      </c>
      <c r="W408" s="32" t="str">
        <f t="shared" si="363"/>
        <v>1-1.22000058729939i</v>
      </c>
      <c r="X408" s="18">
        <f t="shared" si="376"/>
        <v>1.5774667771496351</v>
      </c>
      <c r="Y408" s="18">
        <f t="shared" si="377"/>
        <v>-0.88417499147990808</v>
      </c>
      <c r="Z408" s="32" t="str">
        <f t="shared" si="364"/>
        <v>0.974761706220792+0.59877212915363i</v>
      </c>
      <c r="AA408" s="18">
        <f t="shared" si="378"/>
        <v>1.1439792159675108</v>
      </c>
      <c r="AB408" s="18">
        <f t="shared" si="379"/>
        <v>0.55085004014104333</v>
      </c>
      <c r="AC408" s="68" t="str">
        <f t="shared" si="380"/>
        <v>-0.110675592416469-0.0761129956525052i</v>
      </c>
      <c r="AD408" s="66">
        <f t="shared" si="381"/>
        <v>-17.43708705232677</v>
      </c>
      <c r="AE408" s="63">
        <f t="shared" si="382"/>
        <v>-145.48320765199904</v>
      </c>
      <c r="AF408" s="51" t="e">
        <f t="shared" si="383"/>
        <v>#NUM!</v>
      </c>
      <c r="AG408" s="51" t="str">
        <f t="shared" si="365"/>
        <v>1-374.318362012314i</v>
      </c>
      <c r="AH408" s="51">
        <f t="shared" si="384"/>
        <v>374.31969777127915</v>
      </c>
      <c r="AI408" s="51">
        <f t="shared" si="385"/>
        <v>-1.5681248104535046</v>
      </c>
      <c r="AJ408" s="51" t="str">
        <f t="shared" si="366"/>
        <v>1+0.499091149349751i</v>
      </c>
      <c r="AK408" s="51">
        <f t="shared" si="386"/>
        <v>1.1176278340124031</v>
      </c>
      <c r="AL408" s="51">
        <f t="shared" si="387"/>
        <v>0.46292026418970106</v>
      </c>
      <c r="AM408" s="51" t="e">
        <f t="shared" si="367"/>
        <v>#NUM!</v>
      </c>
      <c r="AN408" s="51" t="e">
        <f t="shared" si="388"/>
        <v>#NUM!</v>
      </c>
      <c r="AO408" s="51" t="e">
        <f t="shared" si="389"/>
        <v>#NUM!</v>
      </c>
      <c r="AP408" s="60" t="e">
        <f t="shared" si="390"/>
        <v>#NUM!</v>
      </c>
      <c r="AQ408" s="51" t="e">
        <f t="shared" si="391"/>
        <v>#NUM!</v>
      </c>
      <c r="AR408" s="63" t="e">
        <f t="shared" si="392"/>
        <v>#NUM!</v>
      </c>
      <c r="AS408" s="32" t="str">
        <f t="shared" si="368"/>
        <v>-0.000170731707317073</v>
      </c>
      <c r="AT408" s="32" t="str">
        <f t="shared" si="369"/>
        <v>0.0189654636752905i</v>
      </c>
      <c r="AU408" s="32">
        <f t="shared" si="393"/>
        <v>1.8965463675290499E-2</v>
      </c>
      <c r="AV408" s="32">
        <f t="shared" si="394"/>
        <v>1.5707963267948966</v>
      </c>
      <c r="AW408" s="32" t="str">
        <f t="shared" si="370"/>
        <v>1+4.03791007779177i</v>
      </c>
      <c r="AX408" s="32">
        <f t="shared" si="395"/>
        <v>4.1598939645539446</v>
      </c>
      <c r="AY408" s="32">
        <f t="shared" si="396"/>
        <v>1.328027948828471</v>
      </c>
      <c r="AZ408" s="32" t="str">
        <f t="shared" si="371"/>
        <v>1+76.7202914780438i</v>
      </c>
      <c r="BA408" s="32">
        <f t="shared" si="397"/>
        <v>76.726808381920861</v>
      </c>
      <c r="BB408" s="32">
        <f t="shared" si="398"/>
        <v>1.5577627035515169</v>
      </c>
      <c r="BC408" s="60" t="str">
        <f t="shared" si="399"/>
        <v>-0.0378107546502691+0.161678669972012i</v>
      </c>
      <c r="BD408" s="51">
        <f t="shared" si="400"/>
        <v>-15.595688183059364</v>
      </c>
      <c r="BE408" s="63">
        <f t="shared" si="401"/>
        <v>103.1628318531037</v>
      </c>
      <c r="BF408" s="60" t="str">
        <f t="shared" si="402"/>
        <v>0.0164905755753149-0.0150159927759453i</v>
      </c>
      <c r="BG408" s="66">
        <f t="shared" si="403"/>
        <v>-33.032775235386126</v>
      </c>
      <c r="BH408" s="63">
        <f t="shared" si="404"/>
        <v>-42.320375798895206</v>
      </c>
      <c r="BI408" s="60" t="e">
        <f t="shared" si="357"/>
        <v>#NUM!</v>
      </c>
      <c r="BJ408" s="66" t="e">
        <f t="shared" si="405"/>
        <v>#NUM!</v>
      </c>
      <c r="BK408" s="63" t="e">
        <f t="shared" si="358"/>
        <v>#NUM!</v>
      </c>
      <c r="BL408" s="51">
        <f t="shared" si="406"/>
        <v>-33.032775235386126</v>
      </c>
      <c r="BM408" s="63">
        <f t="shared" si="407"/>
        <v>-42.320375798895206</v>
      </c>
    </row>
    <row r="409" spans="14:65" x14ac:dyDescent="0.3">
      <c r="N409" s="11">
        <v>91</v>
      </c>
      <c r="O409" s="52">
        <f t="shared" si="359"/>
        <v>81283.051616410012</v>
      </c>
      <c r="P409" s="50" t="str">
        <f t="shared" si="360"/>
        <v>23.3035714285714</v>
      </c>
      <c r="Q409" s="18" t="str">
        <f t="shared" si="361"/>
        <v>1+273.598111949435i</v>
      </c>
      <c r="R409" s="18">
        <f t="shared" si="372"/>
        <v>273.59993944132293</v>
      </c>
      <c r="S409" s="18">
        <f t="shared" si="373"/>
        <v>1.5671413470879387</v>
      </c>
      <c r="T409" s="18" t="str">
        <f t="shared" si="362"/>
        <v>1+0.510716475638947i</v>
      </c>
      <c r="U409" s="18">
        <f t="shared" si="374"/>
        <v>1.1228674536600778</v>
      </c>
      <c r="V409" s="18">
        <f t="shared" si="375"/>
        <v>0.47218398930437411</v>
      </c>
      <c r="W409" s="32" t="str">
        <f t="shared" si="363"/>
        <v>1-1.24841805156187i</v>
      </c>
      <c r="X409" s="18">
        <f t="shared" si="376"/>
        <v>1.5995460704417162</v>
      </c>
      <c r="Y409" s="18">
        <f t="shared" si="377"/>
        <v>-0.89543756215539916</v>
      </c>
      <c r="Z409" s="32" t="str">
        <f t="shared" si="364"/>
        <v>0.973572262079696+0.612719323735936i</v>
      </c>
      <c r="AA409" s="18">
        <f t="shared" si="378"/>
        <v>1.1503338294470866</v>
      </c>
      <c r="AB409" s="18">
        <f t="shared" si="379"/>
        <v>0.56172248375705136</v>
      </c>
      <c r="AC409" s="68" t="str">
        <f t="shared" si="380"/>
        <v>-0.11054277590237-0.0739305568964208i</v>
      </c>
      <c r="AD409" s="66">
        <f t="shared" si="381"/>
        <v>-17.52384313820842</v>
      </c>
      <c r="AE409" s="63">
        <f t="shared" si="382"/>
        <v>-146.22555605366693</v>
      </c>
      <c r="AF409" s="51" t="e">
        <f t="shared" si="383"/>
        <v>#NUM!</v>
      </c>
      <c r="AG409" s="51" t="str">
        <f t="shared" si="365"/>
        <v>1-383.037356729211i</v>
      </c>
      <c r="AH409" s="51">
        <f t="shared" si="384"/>
        <v>383.03866208269477</v>
      </c>
      <c r="AI409" s="51">
        <f t="shared" si="385"/>
        <v>-1.5681856213101619</v>
      </c>
      <c r="AJ409" s="51" t="str">
        <f t="shared" si="366"/>
        <v>1+0.510716475638947i</v>
      </c>
      <c r="AK409" s="51">
        <f t="shared" si="386"/>
        <v>1.1228674536600778</v>
      </c>
      <c r="AL409" s="51">
        <f t="shared" si="387"/>
        <v>0.47218398930437411</v>
      </c>
      <c r="AM409" s="51" t="e">
        <f t="shared" si="367"/>
        <v>#NUM!</v>
      </c>
      <c r="AN409" s="51" t="e">
        <f t="shared" si="388"/>
        <v>#NUM!</v>
      </c>
      <c r="AO409" s="51" t="e">
        <f t="shared" si="389"/>
        <v>#NUM!</v>
      </c>
      <c r="AP409" s="60" t="e">
        <f t="shared" si="390"/>
        <v>#NUM!</v>
      </c>
      <c r="AQ409" s="51" t="e">
        <f t="shared" si="391"/>
        <v>#NUM!</v>
      </c>
      <c r="AR409" s="63" t="e">
        <f t="shared" si="392"/>
        <v>#NUM!</v>
      </c>
      <c r="AS409" s="32" t="str">
        <f t="shared" si="368"/>
        <v>-0.000170731707317073</v>
      </c>
      <c r="AT409" s="32" t="str">
        <f t="shared" si="369"/>
        <v>0.01940722607428i</v>
      </c>
      <c r="AU409" s="32">
        <f t="shared" si="393"/>
        <v>1.9407226074279998E-2</v>
      </c>
      <c r="AV409" s="32">
        <f t="shared" si="394"/>
        <v>1.5707963267948966</v>
      </c>
      <c r="AW409" s="32" t="str">
        <f t="shared" si="370"/>
        <v>1+4.13196508606415i</v>
      </c>
      <c r="AX409" s="32">
        <f t="shared" si="395"/>
        <v>4.2512510479214374</v>
      </c>
      <c r="AY409" s="32">
        <f t="shared" si="396"/>
        <v>1.333346397359539</v>
      </c>
      <c r="AZ409" s="32" t="str">
        <f t="shared" si="371"/>
        <v>1+78.507336635219i</v>
      </c>
      <c r="BA409" s="32">
        <f t="shared" si="397"/>
        <v>78.513705208425861</v>
      </c>
      <c r="BB409" s="32">
        <f t="shared" si="398"/>
        <v>1.5580593525777744</v>
      </c>
      <c r="BC409" s="60" t="str">
        <f t="shared" si="399"/>
        <v>-0.0362031502439933+0.158387479472538i</v>
      </c>
      <c r="BD409" s="51">
        <f t="shared" si="400"/>
        <v>-15.78441121324934</v>
      </c>
      <c r="BE409" s="63">
        <f t="shared" si="401"/>
        <v>102.87510393591717</v>
      </c>
      <c r="BF409" s="60" t="str">
        <f t="shared" si="402"/>
        <v>0.0157116712872067-0.0148320725901308i</v>
      </c>
      <c r="BG409" s="66">
        <f t="shared" si="403"/>
        <v>-33.308254351457769</v>
      </c>
      <c r="BH409" s="63">
        <f t="shared" si="404"/>
        <v>-43.350452117749846</v>
      </c>
      <c r="BI409" s="60" t="e">
        <f t="shared" si="357"/>
        <v>#NUM!</v>
      </c>
      <c r="BJ409" s="66" t="e">
        <f t="shared" si="405"/>
        <v>#NUM!</v>
      </c>
      <c r="BK409" s="63" t="e">
        <f t="shared" si="358"/>
        <v>#NUM!</v>
      </c>
      <c r="BL409" s="51">
        <f t="shared" si="406"/>
        <v>-33.308254351457769</v>
      </c>
      <c r="BM409" s="63">
        <f t="shared" si="407"/>
        <v>-43.350452117749846</v>
      </c>
    </row>
    <row r="410" spans="14:65" x14ac:dyDescent="0.3">
      <c r="N410" s="11">
        <v>92</v>
      </c>
      <c r="O410" s="52">
        <f t="shared" si="359"/>
        <v>83176.377110267174</v>
      </c>
      <c r="P410" s="50" t="str">
        <f t="shared" si="360"/>
        <v>23.3035714285714</v>
      </c>
      <c r="Q410" s="18" t="str">
        <f t="shared" si="361"/>
        <v>1+279.971030659103i</v>
      </c>
      <c r="R410" s="18">
        <f t="shared" si="372"/>
        <v>279.9728165524653</v>
      </c>
      <c r="S410" s="18">
        <f t="shared" si="373"/>
        <v>1.567224543867578</v>
      </c>
      <c r="T410" s="18" t="str">
        <f t="shared" si="362"/>
        <v>1+0.522612590563659i</v>
      </c>
      <c r="U410" s="18">
        <f t="shared" si="374"/>
        <v>1.1283279309738188</v>
      </c>
      <c r="V410" s="18">
        <f t="shared" si="375"/>
        <v>0.48157360245460867</v>
      </c>
      <c r="W410" s="32" t="str">
        <f t="shared" si="363"/>
        <v>1-1.27749744360006i</v>
      </c>
      <c r="X410" s="18">
        <f t="shared" si="376"/>
        <v>1.6223438964672958</v>
      </c>
      <c r="Y410" s="18">
        <f t="shared" si="377"/>
        <v>-0.90664366850171108</v>
      </c>
      <c r="Z410" s="32" t="str">
        <f t="shared" si="364"/>
        <v>0.972326761163242+0.626991390213986i</v>
      </c>
      <c r="AA410" s="18">
        <f t="shared" si="378"/>
        <v>1.1569518286759684</v>
      </c>
      <c r="AB410" s="18">
        <f t="shared" si="379"/>
        <v>0.57273648785280873</v>
      </c>
      <c r="AC410" s="68" t="str">
        <f t="shared" si="380"/>
        <v>-0.110405536001551-0.0717928662436255i</v>
      </c>
      <c r="AD410" s="66">
        <f t="shared" si="381"/>
        <v>-17.608608007725305</v>
      </c>
      <c r="AE410" s="63">
        <f t="shared" si="382"/>
        <v>-146.96545622188555</v>
      </c>
      <c r="AF410" s="51" t="e">
        <f t="shared" si="383"/>
        <v>#NUM!</v>
      </c>
      <c r="AG410" s="51" t="str">
        <f t="shared" si="365"/>
        <v>1-391.959442922745i</v>
      </c>
      <c r="AH410" s="51">
        <f t="shared" si="384"/>
        <v>391.96071856285374</v>
      </c>
      <c r="AI410" s="51">
        <f t="shared" si="385"/>
        <v>-1.5682450479613832</v>
      </c>
      <c r="AJ410" s="51" t="str">
        <f t="shared" si="366"/>
        <v>1+0.522612590563659i</v>
      </c>
      <c r="AK410" s="51">
        <f t="shared" si="386"/>
        <v>1.1283279309738188</v>
      </c>
      <c r="AL410" s="51">
        <f t="shared" si="387"/>
        <v>0.48157360245460867</v>
      </c>
      <c r="AM410" s="51" t="e">
        <f t="shared" si="367"/>
        <v>#NUM!</v>
      </c>
      <c r="AN410" s="51" t="e">
        <f t="shared" si="388"/>
        <v>#NUM!</v>
      </c>
      <c r="AO410" s="51" t="e">
        <f t="shared" si="389"/>
        <v>#NUM!</v>
      </c>
      <c r="AP410" s="60" t="e">
        <f t="shared" si="390"/>
        <v>#NUM!</v>
      </c>
      <c r="AQ410" s="51" t="e">
        <f t="shared" si="391"/>
        <v>#NUM!</v>
      </c>
      <c r="AR410" s="63" t="e">
        <f t="shared" si="392"/>
        <v>#NUM!</v>
      </c>
      <c r="AS410" s="32" t="str">
        <f t="shared" si="368"/>
        <v>-0.000170731707317073</v>
      </c>
      <c r="AT410" s="32" t="str">
        <f t="shared" si="369"/>
        <v>0.019859278441419i</v>
      </c>
      <c r="AU410" s="32">
        <f t="shared" si="393"/>
        <v>1.9859278441419E-2</v>
      </c>
      <c r="AV410" s="32">
        <f t="shared" si="394"/>
        <v>1.5707963267948966</v>
      </c>
      <c r="AW410" s="32" t="str">
        <f t="shared" si="370"/>
        <v>1+4.22821091691819i</v>
      </c>
      <c r="AX410" s="32">
        <f t="shared" si="395"/>
        <v>4.3448552976993557</v>
      </c>
      <c r="AY410" s="32">
        <f t="shared" si="396"/>
        <v>1.3385570463939656</v>
      </c>
      <c r="AZ410" s="32" t="str">
        <f t="shared" si="371"/>
        <v>1+80.3360074214457i</v>
      </c>
      <c r="BA410" s="32">
        <f t="shared" si="397"/>
        <v>80.342231039588242</v>
      </c>
      <c r="BB410" s="32">
        <f t="shared" si="398"/>
        <v>1.558349251214072</v>
      </c>
      <c r="BC410" s="60" t="str">
        <f t="shared" si="399"/>
        <v>-0.0346600537844768+0.155147092848405i</v>
      </c>
      <c r="BD410" s="51">
        <f t="shared" si="400"/>
        <v>-15.973614225291657</v>
      </c>
      <c r="BE410" s="63">
        <f t="shared" si="401"/>
        <v>102.59316570606707</v>
      </c>
      <c r="BF410" s="60" t="str">
        <f t="shared" si="402"/>
        <v>0.0149651163008706-0.0146407533396647i</v>
      </c>
      <c r="BG410" s="66">
        <f t="shared" si="403"/>
        <v>-33.582222233016985</v>
      </c>
      <c r="BH410" s="63">
        <f t="shared" si="404"/>
        <v>-44.372290515818463</v>
      </c>
      <c r="BI410" s="60" t="e">
        <f t="shared" si="357"/>
        <v>#NUM!</v>
      </c>
      <c r="BJ410" s="66" t="e">
        <f t="shared" si="405"/>
        <v>#NUM!</v>
      </c>
      <c r="BK410" s="63" t="e">
        <f t="shared" si="358"/>
        <v>#NUM!</v>
      </c>
      <c r="BL410" s="51">
        <f t="shared" si="406"/>
        <v>-33.582222233016985</v>
      </c>
      <c r="BM410" s="63">
        <f t="shared" si="407"/>
        <v>-44.372290515818463</v>
      </c>
    </row>
    <row r="411" spans="14:65" x14ac:dyDescent="0.3">
      <c r="N411" s="11">
        <v>93</v>
      </c>
      <c r="O411" s="52">
        <f t="shared" si="359"/>
        <v>85113.803820237721</v>
      </c>
      <c r="P411" s="50" t="str">
        <f t="shared" si="360"/>
        <v>23.3035714285714</v>
      </c>
      <c r="Q411" s="18" t="str">
        <f t="shared" si="361"/>
        <v>1+286.49239371508i</v>
      </c>
      <c r="R411" s="18">
        <f t="shared" si="372"/>
        <v>286.49413895679686</v>
      </c>
      <c r="S411" s="18">
        <f t="shared" si="373"/>
        <v>1.567305846905084</v>
      </c>
      <c r="T411" s="18" t="str">
        <f t="shared" si="362"/>
        <v>1+0.534785801601483i</v>
      </c>
      <c r="U411" s="18">
        <f t="shared" si="374"/>
        <v>1.1340175719954875</v>
      </c>
      <c r="V411" s="18">
        <f t="shared" si="375"/>
        <v>0.49108745858397057</v>
      </c>
      <c r="W411" s="32" t="str">
        <f t="shared" si="363"/>
        <v>1-1.30725418169251i</v>
      </c>
      <c r="X411" s="18">
        <f t="shared" si="376"/>
        <v>1.6458777280079326</v>
      </c>
      <c r="Y411" s="18">
        <f t="shared" si="377"/>
        <v>-0.91778799492963814</v>
      </c>
      <c r="Z411" s="32" t="str">
        <f t="shared" si="364"/>
        <v>0.971022561597+0.641595895826339i</v>
      </c>
      <c r="AA411" s="18">
        <f t="shared" si="378"/>
        <v>1.163842819572988</v>
      </c>
      <c r="AB411" s="18">
        <f t="shared" si="379"/>
        <v>0.5838900508039726</v>
      </c>
      <c r="AC411" s="68" t="str">
        <f t="shared" si="380"/>
        <v>-0.110263916153142-0.0696989896719096i</v>
      </c>
      <c r="AD411" s="66">
        <f t="shared" si="381"/>
        <v>-17.691404719336557</v>
      </c>
      <c r="AE411" s="63">
        <f t="shared" si="382"/>
        <v>-147.70258569316067</v>
      </c>
      <c r="AF411" s="51" t="e">
        <f t="shared" si="383"/>
        <v>#NUM!</v>
      </c>
      <c r="AG411" s="51" t="str">
        <f t="shared" si="365"/>
        <v>1-401.089351201113i</v>
      </c>
      <c r="AH411" s="51">
        <f t="shared" si="384"/>
        <v>401.09059780419904</v>
      </c>
      <c r="AI411" s="51">
        <f t="shared" si="385"/>
        <v>-1.5683031219142858</v>
      </c>
      <c r="AJ411" s="51" t="str">
        <f t="shared" si="366"/>
        <v>1+0.534785801601483i</v>
      </c>
      <c r="AK411" s="51">
        <f t="shared" si="386"/>
        <v>1.1340175719954875</v>
      </c>
      <c r="AL411" s="51">
        <f t="shared" si="387"/>
        <v>0.49108745858397057</v>
      </c>
      <c r="AM411" s="51" t="e">
        <f t="shared" si="367"/>
        <v>#NUM!</v>
      </c>
      <c r="AN411" s="51" t="e">
        <f t="shared" si="388"/>
        <v>#NUM!</v>
      </c>
      <c r="AO411" s="51" t="e">
        <f t="shared" si="389"/>
        <v>#NUM!</v>
      </c>
      <c r="AP411" s="60" t="e">
        <f t="shared" si="390"/>
        <v>#NUM!</v>
      </c>
      <c r="AQ411" s="51" t="e">
        <f t="shared" si="391"/>
        <v>#NUM!</v>
      </c>
      <c r="AR411" s="63" t="e">
        <f t="shared" si="392"/>
        <v>#NUM!</v>
      </c>
      <c r="AS411" s="32" t="str">
        <f t="shared" si="368"/>
        <v>-0.000170731707317073</v>
      </c>
      <c r="AT411" s="32" t="str">
        <f t="shared" si="369"/>
        <v>0.0203218604608564i</v>
      </c>
      <c r="AU411" s="32">
        <f t="shared" si="393"/>
        <v>2.0321860460856399E-2</v>
      </c>
      <c r="AV411" s="32">
        <f t="shared" si="394"/>
        <v>1.5707963267948966</v>
      </c>
      <c r="AW411" s="32" t="str">
        <f t="shared" si="370"/>
        <v>1+4.32669860116736i</v>
      </c>
      <c r="AX411" s="32">
        <f t="shared" si="395"/>
        <v>4.4407567807011894</v>
      </c>
      <c r="AY411" s="32">
        <f t="shared" si="396"/>
        <v>1.3436615264014307</v>
      </c>
      <c r="AZ411" s="32" t="str">
        <f t="shared" si="371"/>
        <v>1+82.20727342218i</v>
      </c>
      <c r="BA411" s="32">
        <f t="shared" si="397"/>
        <v>82.21335538408016</v>
      </c>
      <c r="BB411" s="32">
        <f t="shared" si="398"/>
        <v>1.5586325529734852</v>
      </c>
      <c r="BC411" s="60" t="str">
        <f t="shared" si="399"/>
        <v>-0.0331791985541914+0.151957773708259i</v>
      </c>
      <c r="BD411" s="51">
        <f t="shared" si="400"/>
        <v>-16.163277916141062</v>
      </c>
      <c r="BE411" s="63">
        <f t="shared" si="401"/>
        <v>102.31693254017338</v>
      </c>
      <c r="BF411" s="60" t="str">
        <f t="shared" si="402"/>
        <v>0.0142497716676661-0.0144429026016348i</v>
      </c>
      <c r="BG411" s="66">
        <f t="shared" si="403"/>
        <v>-33.854682635477616</v>
      </c>
      <c r="BH411" s="63">
        <f t="shared" si="404"/>
        <v>-45.385653152987388</v>
      </c>
      <c r="BI411" s="60" t="e">
        <f t="shared" si="357"/>
        <v>#NUM!</v>
      </c>
      <c r="BJ411" s="66" t="e">
        <f t="shared" si="405"/>
        <v>#NUM!</v>
      </c>
      <c r="BK411" s="63" t="e">
        <f t="shared" si="358"/>
        <v>#NUM!</v>
      </c>
      <c r="BL411" s="51">
        <f t="shared" si="406"/>
        <v>-33.854682635477616</v>
      </c>
      <c r="BM411" s="63">
        <f t="shared" si="407"/>
        <v>-45.385653152987388</v>
      </c>
    </row>
    <row r="412" spans="14:65" x14ac:dyDescent="0.3">
      <c r="N412" s="11">
        <v>94</v>
      </c>
      <c r="O412" s="52">
        <f t="shared" si="359"/>
        <v>87096.358995608127</v>
      </c>
      <c r="P412" s="50" t="str">
        <f t="shared" si="360"/>
        <v>23.3035714285714</v>
      </c>
      <c r="Q412" s="18" t="str">
        <f t="shared" si="361"/>
        <v>1+293.16565883038i</v>
      </c>
      <c r="R412" s="18">
        <f t="shared" si="372"/>
        <v>293.16736434577905</v>
      </c>
      <c r="S412" s="18">
        <f t="shared" si="373"/>
        <v>1.5673852993041015</v>
      </c>
      <c r="T412" s="18" t="str">
        <f t="shared" si="362"/>
        <v>1+0.547242563150044i</v>
      </c>
      <c r="U412" s="18">
        <f t="shared" si="374"/>
        <v>1.1399449210040939</v>
      </c>
      <c r="V412" s="18">
        <f t="shared" si="375"/>
        <v>0.50072371217001976</v>
      </c>
      <c r="W412" s="32" t="str">
        <f t="shared" si="363"/>
        <v>1-1.33770404325566i</v>
      </c>
      <c r="X412" s="18">
        <f t="shared" si="376"/>
        <v>1.6701652934193489</v>
      </c>
      <c r="Y412" s="18">
        <f t="shared" si="377"/>
        <v>-0.92886537817754522</v>
      </c>
      <c r="Z412" s="32" t="str">
        <f t="shared" si="364"/>
        <v>0.969656896998833+0.656540584075186i</v>
      </c>
      <c r="AA412" s="18">
        <f t="shared" si="378"/>
        <v>1.1710166678724909</v>
      </c>
      <c r="AB412" s="18">
        <f t="shared" si="379"/>
        <v>0.5951809705260146</v>
      </c>
      <c r="AC412" s="68" t="str">
        <f t="shared" si="380"/>
        <v>-0.110117966200053-0.067648016488277i</v>
      </c>
      <c r="AD412" s="66">
        <f t="shared" si="381"/>
        <v>-17.772257841424782</v>
      </c>
      <c r="AE412" s="63">
        <f t="shared" si="382"/>
        <v>-148.43663067454611</v>
      </c>
      <c r="AF412" s="51" t="e">
        <f t="shared" si="383"/>
        <v>#NUM!</v>
      </c>
      <c r="AG412" s="51" t="str">
        <f t="shared" si="365"/>
        <v>1-410.431922362534i</v>
      </c>
      <c r="AH412" s="51">
        <f t="shared" si="384"/>
        <v>410.43314058955468</v>
      </c>
      <c r="AI412" s="51">
        <f t="shared" si="385"/>
        <v>-1.5683598739588804</v>
      </c>
      <c r="AJ412" s="51" t="str">
        <f t="shared" si="366"/>
        <v>1+0.547242563150044i</v>
      </c>
      <c r="AK412" s="51">
        <f t="shared" si="386"/>
        <v>1.1399449210040939</v>
      </c>
      <c r="AL412" s="51">
        <f t="shared" si="387"/>
        <v>0.50072371217001976</v>
      </c>
      <c r="AM412" s="51" t="e">
        <f t="shared" si="367"/>
        <v>#NUM!</v>
      </c>
      <c r="AN412" s="51" t="e">
        <f t="shared" si="388"/>
        <v>#NUM!</v>
      </c>
      <c r="AO412" s="51" t="e">
        <f t="shared" si="389"/>
        <v>#NUM!</v>
      </c>
      <c r="AP412" s="60" t="e">
        <f t="shared" si="390"/>
        <v>#NUM!</v>
      </c>
      <c r="AQ412" s="51" t="e">
        <f t="shared" si="391"/>
        <v>#NUM!</v>
      </c>
      <c r="AR412" s="63" t="e">
        <f t="shared" si="392"/>
        <v>#NUM!</v>
      </c>
      <c r="AS412" s="32" t="str">
        <f t="shared" si="368"/>
        <v>-0.000170731707317073</v>
      </c>
      <c r="AT412" s="32" t="str">
        <f t="shared" si="369"/>
        <v>0.0207952173997017i</v>
      </c>
      <c r="AU412" s="32">
        <f t="shared" si="393"/>
        <v>2.07952173997017E-2</v>
      </c>
      <c r="AV412" s="32">
        <f t="shared" si="394"/>
        <v>1.5707963267948966</v>
      </c>
      <c r="AW412" s="32" t="str">
        <f t="shared" si="370"/>
        <v>1+4.42748035828551i</v>
      </c>
      <c r="AX412" s="32">
        <f t="shared" si="395"/>
        <v>4.5390067551176863</v>
      </c>
      <c r="AY412" s="32">
        <f t="shared" si="396"/>
        <v>1.348661479365197</v>
      </c>
      <c r="AZ412" s="32" t="str">
        <f t="shared" si="371"/>
        <v>1+84.1221268074248i</v>
      </c>
      <c r="BA412" s="32">
        <f t="shared" si="397"/>
        <v>84.128070336864738</v>
      </c>
      <c r="BB412" s="32">
        <f t="shared" si="398"/>
        <v>1.55890940788435</v>
      </c>
      <c r="BC412" s="60" t="str">
        <f t="shared" si="399"/>
        <v>-0.0317583703164575+0.148819703727136i</v>
      </c>
      <c r="BD412" s="51">
        <f t="shared" si="400"/>
        <v>-16.353383664606092</v>
      </c>
      <c r="BE412" s="63">
        <f t="shared" si="401"/>
        <v>102.04631895551567</v>
      </c>
      <c r="BF412" s="60" t="str">
        <f t="shared" si="402"/>
        <v>0.0135645249205902-0.0142393323461181i</v>
      </c>
      <c r="BG412" s="66">
        <f t="shared" si="403"/>
        <v>-34.125641506030895</v>
      </c>
      <c r="BH412" s="63">
        <f t="shared" si="404"/>
        <v>-46.390311719030443</v>
      </c>
      <c r="BI412" s="60" t="e">
        <f t="shared" si="357"/>
        <v>#NUM!</v>
      </c>
      <c r="BJ412" s="66" t="e">
        <f t="shared" si="405"/>
        <v>#NUM!</v>
      </c>
      <c r="BK412" s="63" t="e">
        <f t="shared" si="358"/>
        <v>#NUM!</v>
      </c>
      <c r="BL412" s="51">
        <f t="shared" si="406"/>
        <v>-34.125641506030895</v>
      </c>
      <c r="BM412" s="63">
        <f t="shared" si="407"/>
        <v>-46.390311719030443</v>
      </c>
    </row>
    <row r="413" spans="14:65" x14ac:dyDescent="0.3">
      <c r="N413" s="11">
        <v>95</v>
      </c>
      <c r="O413" s="52">
        <f t="shared" si="359"/>
        <v>89125.093813374609</v>
      </c>
      <c r="P413" s="50" t="str">
        <f t="shared" si="360"/>
        <v>23.3035714285714</v>
      </c>
      <c r="Q413" s="18" t="str">
        <f t="shared" si="361"/>
        <v>1+299.994364258498i</v>
      </c>
      <c r="R413" s="18">
        <f t="shared" si="372"/>
        <v>299.99603095184506</v>
      </c>
      <c r="S413" s="18">
        <f t="shared" si="373"/>
        <v>1.5674629431873295</v>
      </c>
      <c r="T413" s="18" t="str">
        <f t="shared" si="362"/>
        <v>1+0.559989479949198i</v>
      </c>
      <c r="U413" s="18">
        <f t="shared" si="374"/>
        <v>1.1461187624560438</v>
      </c>
      <c r="V413" s="18">
        <f t="shared" si="375"/>
        <v>0.51048031331599752</v>
      </c>
      <c r="W413" s="32" t="str">
        <f t="shared" si="363"/>
        <v>1-1.36886317320915i</v>
      </c>
      <c r="X413" s="18">
        <f t="shared" si="376"/>
        <v>1.6952245830473978</v>
      </c>
      <c r="Y413" s="18">
        <f t="shared" si="377"/>
        <v>-0.93987081774114967</v>
      </c>
      <c r="Z413" s="32" t="str">
        <f t="shared" si="364"/>
        <v>0.968226870611029+0.671833378832051i</v>
      </c>
      <c r="AA413" s="18">
        <f t="shared" si="378"/>
        <v>1.1784835008968588</v>
      </c>
      <c r="AB413" s="18">
        <f t="shared" si="379"/>
        <v>0.60660684383265717</v>
      </c>
      <c r="AC413" s="68" t="str">
        <f t="shared" si="380"/>
        <v>-0.109967742640965-0.0656390582165891i</v>
      </c>
      <c r="AD413" s="66">
        <f t="shared" si="381"/>
        <v>-17.8511933420925</v>
      </c>
      <c r="AE413" s="63">
        <f t="shared" si="382"/>
        <v>-149.16728682970577</v>
      </c>
      <c r="AF413" s="51" t="e">
        <f t="shared" si="383"/>
        <v>#NUM!</v>
      </c>
      <c r="AG413" s="51" t="str">
        <f t="shared" si="365"/>
        <v>1-419.992109961899i</v>
      </c>
      <c r="AH413" s="51">
        <f t="shared" si="384"/>
        <v>419.99330045876667</v>
      </c>
      <c r="AI413" s="51">
        <f t="shared" si="385"/>
        <v>-1.5684153341843892</v>
      </c>
      <c r="AJ413" s="51" t="str">
        <f t="shared" si="366"/>
        <v>1+0.559989479949198i</v>
      </c>
      <c r="AK413" s="51">
        <f t="shared" si="386"/>
        <v>1.1461187624560438</v>
      </c>
      <c r="AL413" s="51">
        <f t="shared" si="387"/>
        <v>0.51048031331599752</v>
      </c>
      <c r="AM413" s="51" t="e">
        <f t="shared" si="367"/>
        <v>#NUM!</v>
      </c>
      <c r="AN413" s="51" t="e">
        <f t="shared" si="388"/>
        <v>#NUM!</v>
      </c>
      <c r="AO413" s="51" t="e">
        <f t="shared" si="389"/>
        <v>#NUM!</v>
      </c>
      <c r="AP413" s="60" t="e">
        <f t="shared" si="390"/>
        <v>#NUM!</v>
      </c>
      <c r="AQ413" s="51" t="e">
        <f t="shared" si="391"/>
        <v>#NUM!</v>
      </c>
      <c r="AR413" s="63" t="e">
        <f t="shared" si="392"/>
        <v>#NUM!</v>
      </c>
      <c r="AS413" s="32" t="str">
        <f t="shared" si="368"/>
        <v>-0.000170731707317073</v>
      </c>
      <c r="AT413" s="32" t="str">
        <f t="shared" si="369"/>
        <v>0.0212796002380695i</v>
      </c>
      <c r="AU413" s="32">
        <f t="shared" si="393"/>
        <v>2.1279600238069501E-2</v>
      </c>
      <c r="AV413" s="32">
        <f t="shared" si="394"/>
        <v>1.5707963267948966</v>
      </c>
      <c r="AW413" s="32" t="str">
        <f t="shared" si="370"/>
        <v>1+4.53060962409424i</v>
      </c>
      <c r="AX413" s="32">
        <f t="shared" si="395"/>
        <v>4.6396576992204235</v>
      </c>
      <c r="AY413" s="32">
        <f t="shared" si="396"/>
        <v>1.3535585559053365</v>
      </c>
      <c r="AZ413" s="32" t="str">
        <f t="shared" si="371"/>
        <v>1+86.0815828577907i</v>
      </c>
      <c r="BA413" s="32">
        <f t="shared" si="397"/>
        <v>86.087391105217534</v>
      </c>
      <c r="BB413" s="32">
        <f t="shared" si="398"/>
        <v>1.5591799625689424</v>
      </c>
      <c r="BC413" s="60" t="str">
        <f t="shared" si="399"/>
        <v>-0.0303954085491783+0.145732987771385i</v>
      </c>
      <c r="BD413" s="51">
        <f t="shared" si="400"/>
        <v>-16.543913515247056</v>
      </c>
      <c r="BE413" s="63">
        <f t="shared" si="401"/>
        <v>101.78123877936781</v>
      </c>
      <c r="BF413" s="60" t="str">
        <f t="shared" si="402"/>
        <v>0.0129082905332064-0.014030801702266i</v>
      </c>
      <c r="BG413" s="66">
        <f t="shared" si="403"/>
        <v>-34.395106857339577</v>
      </c>
      <c r="BH413" s="63">
        <f t="shared" si="404"/>
        <v>-47.386048050337948</v>
      </c>
      <c r="BI413" s="60" t="e">
        <f t="shared" si="357"/>
        <v>#NUM!</v>
      </c>
      <c r="BJ413" s="66" t="e">
        <f t="shared" si="405"/>
        <v>#NUM!</v>
      </c>
      <c r="BK413" s="63" t="e">
        <f t="shared" si="358"/>
        <v>#NUM!</v>
      </c>
      <c r="BL413" s="51">
        <f t="shared" si="406"/>
        <v>-34.395106857339577</v>
      </c>
      <c r="BM413" s="63">
        <f t="shared" si="407"/>
        <v>-47.386048050337948</v>
      </c>
    </row>
    <row r="414" spans="14:65" x14ac:dyDescent="0.3">
      <c r="N414" s="11">
        <v>96</v>
      </c>
      <c r="O414" s="52">
        <f t="shared" si="359"/>
        <v>91201.083935591028</v>
      </c>
      <c r="P414" s="50" t="str">
        <f t="shared" si="360"/>
        <v>23.3035714285714</v>
      </c>
      <c r="Q414" s="18" t="str">
        <f t="shared" si="361"/>
        <v>1+306.982130669441i</v>
      </c>
      <c r="R414" s="18">
        <f t="shared" si="372"/>
        <v>306.9837594244193</v>
      </c>
      <c r="S414" s="18">
        <f t="shared" si="373"/>
        <v>1.5675388197188354</v>
      </c>
      <c r="T414" s="18" t="str">
        <f t="shared" si="362"/>
        <v>1+0.573033310582958i</v>
      </c>
      <c r="U414" s="18">
        <f t="shared" si="374"/>
        <v>1.1525481226559111</v>
      </c>
      <c r="V414" s="18">
        <f t="shared" si="375"/>
        <v>0.5203550044244446</v>
      </c>
      <c r="W414" s="32" t="str">
        <f t="shared" si="363"/>
        <v>1-1.40074809253612i</v>
      </c>
      <c r="X414" s="18">
        <f t="shared" si="376"/>
        <v>1.7210738562721759</v>
      </c>
      <c r="Y414" s="18">
        <f t="shared" si="377"/>
        <v>-0.95079948537899495</v>
      </c>
      <c r="Z414" s="32" t="str">
        <f t="shared" si="364"/>
        <v>0.966729449155893+0.687482388539139i</v>
      </c>
      <c r="AA414" s="18">
        <f t="shared" si="378"/>
        <v>1.1862537091266505</v>
      </c>
      <c r="AB414" s="18">
        <f t="shared" si="379"/>
        <v>0.6181650666090539</v>
      </c>
      <c r="AC414" s="68" t="str">
        <f t="shared" si="380"/>
        <v>-0.10981330883731-0.0636712474652507i</v>
      </c>
      <c r="AD414" s="66">
        <f t="shared" si="381"/>
        <v>-17.92823847568652</v>
      </c>
      <c r="AE414" s="63">
        <f t="shared" si="382"/>
        <v>-149.89426002532488</v>
      </c>
      <c r="AF414" s="51" t="e">
        <f t="shared" si="383"/>
        <v>#NUM!</v>
      </c>
      <c r="AG414" s="51" t="str">
        <f t="shared" si="365"/>
        <v>1-429.77498293722i</v>
      </c>
      <c r="AH414" s="51">
        <f t="shared" si="384"/>
        <v>429.77614633514474</v>
      </c>
      <c r="AI414" s="51">
        <f t="shared" si="385"/>
        <v>-1.5684695319951922</v>
      </c>
      <c r="AJ414" s="51" t="str">
        <f t="shared" si="366"/>
        <v>1+0.573033310582958i</v>
      </c>
      <c r="AK414" s="51">
        <f t="shared" si="386"/>
        <v>1.1525481226559111</v>
      </c>
      <c r="AL414" s="51">
        <f t="shared" si="387"/>
        <v>0.5203550044244446</v>
      </c>
      <c r="AM414" s="51" t="e">
        <f t="shared" si="367"/>
        <v>#NUM!</v>
      </c>
      <c r="AN414" s="51" t="e">
        <f t="shared" si="388"/>
        <v>#NUM!</v>
      </c>
      <c r="AO414" s="51" t="e">
        <f t="shared" si="389"/>
        <v>#NUM!</v>
      </c>
      <c r="AP414" s="60" t="e">
        <f t="shared" si="390"/>
        <v>#NUM!</v>
      </c>
      <c r="AQ414" s="51" t="e">
        <f t="shared" si="391"/>
        <v>#NUM!</v>
      </c>
      <c r="AR414" s="63" t="e">
        <f t="shared" si="392"/>
        <v>#NUM!</v>
      </c>
      <c r="AS414" s="32" t="str">
        <f t="shared" si="368"/>
        <v>-0.000170731707317073</v>
      </c>
      <c r="AT414" s="32" t="str">
        <f t="shared" si="369"/>
        <v>0.0217752658021524i</v>
      </c>
      <c r="AU414" s="32">
        <f t="shared" si="393"/>
        <v>2.1775265802152399E-2</v>
      </c>
      <c r="AV414" s="32">
        <f t="shared" si="394"/>
        <v>1.5707963267948966</v>
      </c>
      <c r="AW414" s="32" t="str">
        <f t="shared" si="370"/>
        <v>1+4.63614107909538i</v>
      </c>
      <c r="AX414" s="32">
        <f t="shared" si="395"/>
        <v>4.7427633406354657</v>
      </c>
      <c r="AY414" s="32">
        <f t="shared" si="396"/>
        <v>1.3583544125812563</v>
      </c>
      <c r="AZ414" s="32" t="str">
        <f t="shared" si="371"/>
        <v>1+88.0866805028124i</v>
      </c>
      <c r="BA414" s="32">
        <f t="shared" si="397"/>
        <v>88.0923565470044</v>
      </c>
      <c r="BB414" s="32">
        <f t="shared" si="398"/>
        <v>1.5594443603204107</v>
      </c>
      <c r="BC414" s="60" t="str">
        <f t="shared" si="399"/>
        <v>-0.0290882073937773+0.142697658853283i</v>
      </c>
      <c r="BD414" s="51">
        <f t="shared" si="400"/>
        <v>-16.73485016193538</v>
      </c>
      <c r="BE414" s="63">
        <f t="shared" si="401"/>
        <v>101.52160530795976</v>
      </c>
      <c r="BF414" s="60" t="str">
        <f t="shared" si="402"/>
        <v>0.0122800102516159-0.0138180196307269i</v>
      </c>
      <c r="BG414" s="66">
        <f t="shared" si="403"/>
        <v>-34.663088637621911</v>
      </c>
      <c r="BH414" s="63">
        <f t="shared" si="404"/>
        <v>-48.37265471736503</v>
      </c>
      <c r="BI414" s="60" t="e">
        <f t="shared" si="357"/>
        <v>#NUM!</v>
      </c>
      <c r="BJ414" s="66" t="e">
        <f t="shared" si="405"/>
        <v>#NUM!</v>
      </c>
      <c r="BK414" s="63" t="e">
        <f t="shared" si="358"/>
        <v>#NUM!</v>
      </c>
      <c r="BL414" s="51">
        <f t="shared" si="406"/>
        <v>-34.663088637621911</v>
      </c>
      <c r="BM414" s="63">
        <f t="shared" si="407"/>
        <v>-48.37265471736503</v>
      </c>
    </row>
    <row r="415" spans="14:65" x14ac:dyDescent="0.3">
      <c r="N415" s="11">
        <v>97</v>
      </c>
      <c r="O415" s="52">
        <f t="shared" si="359"/>
        <v>93325.430079699145</v>
      </c>
      <c r="P415" s="50" t="str">
        <f t="shared" si="360"/>
        <v>23.3035714285714</v>
      </c>
      <c r="Q415" s="18" t="str">
        <f t="shared" si="361"/>
        <v>1+314.132663069454i</v>
      </c>
      <c r="R415" s="18">
        <f t="shared" si="372"/>
        <v>314.13425474963265</v>
      </c>
      <c r="S415" s="18">
        <f t="shared" si="373"/>
        <v>1.5676129691258642</v>
      </c>
      <c r="T415" s="18" t="str">
        <f t="shared" si="362"/>
        <v>1+0.586380971062982i</v>
      </c>
      <c r="U415" s="18">
        <f t="shared" si="374"/>
        <v>1.1592422711516199</v>
      </c>
      <c r="V415" s="18">
        <f t="shared" si="375"/>
        <v>0.53034531750741232</v>
      </c>
      <c r="W415" s="32" t="str">
        <f t="shared" si="363"/>
        <v>1-1.43337570704285i</v>
      </c>
      <c r="X415" s="18">
        <f t="shared" si="376"/>
        <v>1.7477316491786117</v>
      </c>
      <c r="Y415" s="18">
        <f t="shared" si="377"/>
        <v>-0.96164673366241116</v>
      </c>
      <c r="Z415" s="32" t="str">
        <f t="shared" si="364"/>
        <v>0.965161456401757+0.703495910508536i</v>
      </c>
      <c r="AA415" s="18">
        <f t="shared" si="378"/>
        <v>1.1943379475784039</v>
      </c>
      <c r="AB415" s="18">
        <f t="shared" si="379"/>
        <v>0.62985283484292587</v>
      </c>
      <c r="AC415" s="68" t="str">
        <f t="shared" si="380"/>
        <v>-0.109654735171142-0.0617437367777422i</v>
      </c>
      <c r="AD415" s="66">
        <f t="shared" si="381"/>
        <v>-18.00342166705418</v>
      </c>
      <c r="AE415" s="63">
        <f t="shared" si="382"/>
        <v>-150.61726703543101</v>
      </c>
      <c r="AF415" s="51" t="e">
        <f t="shared" si="383"/>
        <v>#NUM!</v>
      </c>
      <c r="AG415" s="51" t="str">
        <f t="shared" si="365"/>
        <v>1-439.785728297238i</v>
      </c>
      <c r="AH415" s="51">
        <f t="shared" si="384"/>
        <v>439.78686521306213</v>
      </c>
      <c r="AI415" s="51">
        <f t="shared" si="385"/>
        <v>-1.5685224961264119</v>
      </c>
      <c r="AJ415" s="51" t="str">
        <f t="shared" si="366"/>
        <v>1+0.586380971062982i</v>
      </c>
      <c r="AK415" s="51">
        <f t="shared" si="386"/>
        <v>1.1592422711516199</v>
      </c>
      <c r="AL415" s="51">
        <f t="shared" si="387"/>
        <v>0.53034531750741232</v>
      </c>
      <c r="AM415" s="51" t="e">
        <f t="shared" si="367"/>
        <v>#NUM!</v>
      </c>
      <c r="AN415" s="51" t="e">
        <f t="shared" si="388"/>
        <v>#NUM!</v>
      </c>
      <c r="AO415" s="51" t="e">
        <f t="shared" si="389"/>
        <v>#NUM!</v>
      </c>
      <c r="AP415" s="60" t="e">
        <f t="shared" si="390"/>
        <v>#NUM!</v>
      </c>
      <c r="AQ415" s="51" t="e">
        <f t="shared" si="391"/>
        <v>#NUM!</v>
      </c>
      <c r="AR415" s="63" t="e">
        <f t="shared" si="392"/>
        <v>#NUM!</v>
      </c>
      <c r="AS415" s="32" t="str">
        <f t="shared" si="368"/>
        <v>-0.000170731707317073</v>
      </c>
      <c r="AT415" s="32" t="str">
        <f t="shared" si="369"/>
        <v>0.0222824769003933i</v>
      </c>
      <c r="AU415" s="32">
        <f t="shared" si="393"/>
        <v>2.2282476900393301E-2</v>
      </c>
      <c r="AV415" s="32">
        <f t="shared" si="394"/>
        <v>1.5707963267948966</v>
      </c>
      <c r="AW415" s="32" t="str">
        <f t="shared" si="370"/>
        <v>1+4.74413067746324i</v>
      </c>
      <c r="AX415" s="32">
        <f t="shared" si="395"/>
        <v>4.8483786862050922</v>
      </c>
      <c r="AY415" s="32">
        <f t="shared" si="396"/>
        <v>1.3630507093673589</v>
      </c>
      <c r="AZ415" s="32" t="str">
        <f t="shared" si="371"/>
        <v>1+90.1384828718016i</v>
      </c>
      <c r="BA415" s="32">
        <f t="shared" si="397"/>
        <v>90.144029721496651</v>
      </c>
      <c r="BB415" s="32">
        <f t="shared" si="398"/>
        <v>1.5597027411779929</v>
      </c>
      <c r="BC415" s="60" t="str">
        <f t="shared" si="399"/>
        <v>-0.027834716342832+0.139713682909302i</v>
      </c>
      <c r="BD415" s="51">
        <f t="shared" si="400"/>
        <v>-16.926176931156785</v>
      </c>
      <c r="BE415" s="63">
        <f t="shared" si="401"/>
        <v>101.26733145542171</v>
      </c>
      <c r="BF415" s="60" t="str">
        <f t="shared" si="402"/>
        <v>0.011678653310938-0.0136016475000495i</v>
      </c>
      <c r="BG415" s="66">
        <f t="shared" si="403"/>
        <v>-34.929598598210951</v>
      </c>
      <c r="BH415" s="63">
        <f t="shared" si="404"/>
        <v>-49.349935580009316</v>
      </c>
      <c r="BI415" s="60" t="e">
        <f t="shared" si="357"/>
        <v>#NUM!</v>
      </c>
      <c r="BJ415" s="66" t="e">
        <f t="shared" si="405"/>
        <v>#NUM!</v>
      </c>
      <c r="BK415" s="63" t="e">
        <f t="shared" si="358"/>
        <v>#NUM!</v>
      </c>
      <c r="BL415" s="51">
        <f t="shared" si="406"/>
        <v>-34.929598598210951</v>
      </c>
      <c r="BM415" s="63">
        <f t="shared" si="407"/>
        <v>-49.349935580009316</v>
      </c>
    </row>
    <row r="416" spans="14:65" x14ac:dyDescent="0.3">
      <c r="N416" s="11">
        <v>98</v>
      </c>
      <c r="O416" s="52">
        <f t="shared" si="359"/>
        <v>95499.258602143804</v>
      </c>
      <c r="P416" s="50" t="str">
        <f t="shared" si="360"/>
        <v>23.3035714285714</v>
      </c>
      <c r="Q416" s="18" t="str">
        <f t="shared" si="361"/>
        <v>1+321.449752765464i</v>
      </c>
      <c r="R416" s="18">
        <f t="shared" si="372"/>
        <v>321.45130821475578</v>
      </c>
      <c r="S416" s="18">
        <f t="shared" si="373"/>
        <v>1.5676854307201498</v>
      </c>
      <c r="T416" s="18" t="str">
        <f t="shared" si="362"/>
        <v>1+0.600039538495534i</v>
      </c>
      <c r="U416" s="18">
        <f t="shared" si="374"/>
        <v>1.1662107218500151</v>
      </c>
      <c r="V416" s="18">
        <f t="shared" si="375"/>
        <v>0.5404485721866481</v>
      </c>
      <c r="W416" s="32" t="str">
        <f t="shared" si="363"/>
        <v>1-1.46676331632242i</v>
      </c>
      <c r="X416" s="18">
        <f t="shared" si="376"/>
        <v>1.7752167828491101</v>
      </c>
      <c r="Y416" s="18">
        <f t="shared" si="377"/>
        <v>-0.97240810354813578</v>
      </c>
      <c r="Z416" s="32" t="str">
        <f t="shared" si="364"/>
        <v>0.963519566425763+0.719882435321554i</v>
      </c>
      <c r="AA416" s="18">
        <f t="shared" si="378"/>
        <v>1.2027471370033609</v>
      </c>
      <c r="AB416" s="18">
        <f t="shared" si="379"/>
        <v>0.64166714655230128</v>
      </c>
      <c r="AC416" s="68" t="str">
        <f t="shared" si="380"/>
        <v>-0.10949209914997-0.0598556974693412i</v>
      </c>
      <c r="AD416" s="66">
        <f t="shared" si="381"/>
        <v>-18.076772394543354</v>
      </c>
      <c r="AE416" s="63">
        <f t="shared" si="382"/>
        <v>-151.33603620152473</v>
      </c>
      <c r="AF416" s="51" t="e">
        <f t="shared" si="383"/>
        <v>#NUM!</v>
      </c>
      <c r="AG416" s="51" t="str">
        <f t="shared" si="365"/>
        <v>1-450.029653871652i</v>
      </c>
      <c r="AH416" s="51">
        <f t="shared" si="384"/>
        <v>450.03076490817705</v>
      </c>
      <c r="AI416" s="51">
        <f t="shared" si="385"/>
        <v>-1.5685742546591426</v>
      </c>
      <c r="AJ416" s="51" t="str">
        <f t="shared" si="366"/>
        <v>1+0.600039538495534i</v>
      </c>
      <c r="AK416" s="51">
        <f t="shared" si="386"/>
        <v>1.1662107218500151</v>
      </c>
      <c r="AL416" s="51">
        <f t="shared" si="387"/>
        <v>0.5404485721866481</v>
      </c>
      <c r="AM416" s="51" t="e">
        <f t="shared" si="367"/>
        <v>#NUM!</v>
      </c>
      <c r="AN416" s="51" t="e">
        <f t="shared" si="388"/>
        <v>#NUM!</v>
      </c>
      <c r="AO416" s="51" t="e">
        <f t="shared" si="389"/>
        <v>#NUM!</v>
      </c>
      <c r="AP416" s="60" t="e">
        <f t="shared" si="390"/>
        <v>#NUM!</v>
      </c>
      <c r="AQ416" s="51" t="e">
        <f t="shared" si="391"/>
        <v>#NUM!</v>
      </c>
      <c r="AR416" s="63" t="e">
        <f t="shared" si="392"/>
        <v>#NUM!</v>
      </c>
      <c r="AS416" s="32" t="str">
        <f t="shared" si="368"/>
        <v>-0.000170731707317073</v>
      </c>
      <c r="AT416" s="32" t="str">
        <f t="shared" si="369"/>
        <v>0.0228015024628303i</v>
      </c>
      <c r="AU416" s="32">
        <f t="shared" si="393"/>
        <v>2.28015024628303E-2</v>
      </c>
      <c r="AV416" s="32">
        <f t="shared" si="394"/>
        <v>1.5707963267948966</v>
      </c>
      <c r="AW416" s="32" t="str">
        <f t="shared" si="370"/>
        <v>1+4.85463567671228i</v>
      </c>
      <c r="AX416" s="32">
        <f t="shared" si="395"/>
        <v>4.9565600524565117</v>
      </c>
      <c r="AY416" s="32">
        <f t="shared" si="396"/>
        <v>1.367649107295519</v>
      </c>
      <c r="AZ416" s="32" t="str">
        <f t="shared" si="371"/>
        <v>1+92.2380778575335i</v>
      </c>
      <c r="BA416" s="32">
        <f t="shared" si="397"/>
        <v>92.243498453020592</v>
      </c>
      <c r="BB416" s="32">
        <f t="shared" si="398"/>
        <v>1.5599552420005629</v>
      </c>
      <c r="BC416" s="60" t="str">
        <f t="shared" si="399"/>
        <v>-0.0266329406888487+0.136780963397663i</v>
      </c>
      <c r="BD416" s="51">
        <f t="shared" si="400"/>
        <v>-17.117877765136729</v>
      </c>
      <c r="BE416" s="63">
        <f t="shared" si="401"/>
        <v>101.01832989307333</v>
      </c>
      <c r="BF416" s="60" t="str">
        <f t="shared" si="402"/>
        <v>0.0111032165472542-0.0133823015655747i</v>
      </c>
      <c r="BG416" s="66">
        <f t="shared" si="403"/>
        <v>-35.194650159680101</v>
      </c>
      <c r="BH416" s="63">
        <f t="shared" si="404"/>
        <v>-50.317706308451491</v>
      </c>
      <c r="BI416" s="60" t="e">
        <f t="shared" si="357"/>
        <v>#NUM!</v>
      </c>
      <c r="BJ416" s="66" t="e">
        <f t="shared" si="405"/>
        <v>#NUM!</v>
      </c>
      <c r="BK416" s="63" t="e">
        <f t="shared" si="358"/>
        <v>#NUM!</v>
      </c>
      <c r="BL416" s="51">
        <f t="shared" si="406"/>
        <v>-35.194650159680101</v>
      </c>
      <c r="BM416" s="63">
        <f t="shared" si="407"/>
        <v>-50.317706308451491</v>
      </c>
    </row>
    <row r="417" spans="14:65" x14ac:dyDescent="0.3">
      <c r="N417" s="11">
        <v>99</v>
      </c>
      <c r="O417" s="52">
        <f t="shared" si="359"/>
        <v>97723.722095581266</v>
      </c>
      <c r="P417" s="50" t="str">
        <f t="shared" si="360"/>
        <v>23.3035714285714</v>
      </c>
      <c r="Q417" s="18" t="str">
        <f t="shared" si="361"/>
        <v>1+328.93727937528i</v>
      </c>
      <c r="R417" s="18">
        <f t="shared" si="372"/>
        <v>328.93879941838878</v>
      </c>
      <c r="S417" s="18">
        <f t="shared" si="373"/>
        <v>1.5677562429187426</v>
      </c>
      <c r="T417" s="18" t="str">
        <f t="shared" si="362"/>
        <v>1+0.614016254833857i</v>
      </c>
      <c r="U417" s="18">
        <f t="shared" si="374"/>
        <v>1.1734632338510635</v>
      </c>
      <c r="V417" s="18">
        <f t="shared" si="375"/>
        <v>0.55066187443512959</v>
      </c>
      <c r="W417" s="32" t="str">
        <f t="shared" si="363"/>
        <v>1-1.50092862292721i</v>
      </c>
      <c r="X417" s="18">
        <f t="shared" si="376"/>
        <v>1.8035483722712211</v>
      </c>
      <c r="Y417" s="18">
        <f t="shared" si="377"/>
        <v>-0.98307933096091482</v>
      </c>
      <c r="Z417" s="32" t="str">
        <f t="shared" si="364"/>
        <v>0.961800296559142+0.736650651330549i</v>
      </c>
      <c r="AA417" s="18">
        <f t="shared" si="378"/>
        <v>1.2114924649237302</v>
      </c>
      <c r="AB417" s="18">
        <f t="shared" si="379"/>
        <v>0.65360480464315451</v>
      </c>
      <c r="AC417" s="68" t="str">
        <f t="shared" si="380"/>
        <v>-0.109325485454956-0.0580063184539224i</v>
      </c>
      <c r="AD417" s="66">
        <f t="shared" si="381"/>
        <v>-18.148321072747894</v>
      </c>
      <c r="AE417" s="63">
        <f t="shared" si="382"/>
        <v>-152.05030804676537</v>
      </c>
      <c r="AF417" s="51" t="e">
        <f t="shared" si="383"/>
        <v>#NUM!</v>
      </c>
      <c r="AG417" s="51" t="str">
        <f t="shared" si="365"/>
        <v>1-460.512191125394i</v>
      </c>
      <c r="AH417" s="51">
        <f t="shared" si="384"/>
        <v>460.51327687170044</v>
      </c>
      <c r="AI417" s="51">
        <f t="shared" si="385"/>
        <v>-1.5686248350353331</v>
      </c>
      <c r="AJ417" s="51" t="str">
        <f t="shared" si="366"/>
        <v>1+0.614016254833857i</v>
      </c>
      <c r="AK417" s="51">
        <f t="shared" si="386"/>
        <v>1.1734632338510635</v>
      </c>
      <c r="AL417" s="51">
        <f t="shared" si="387"/>
        <v>0.55066187443512959</v>
      </c>
      <c r="AM417" s="51" t="e">
        <f t="shared" si="367"/>
        <v>#NUM!</v>
      </c>
      <c r="AN417" s="51" t="e">
        <f t="shared" si="388"/>
        <v>#NUM!</v>
      </c>
      <c r="AO417" s="51" t="e">
        <f t="shared" si="389"/>
        <v>#NUM!</v>
      </c>
      <c r="AP417" s="60" t="e">
        <f t="shared" si="390"/>
        <v>#NUM!</v>
      </c>
      <c r="AQ417" s="51" t="e">
        <f t="shared" si="391"/>
        <v>#NUM!</v>
      </c>
      <c r="AR417" s="63" t="e">
        <f t="shared" si="392"/>
        <v>#NUM!</v>
      </c>
      <c r="AS417" s="32" t="str">
        <f t="shared" si="368"/>
        <v>-0.000170731707317073</v>
      </c>
      <c r="AT417" s="32" t="str">
        <f t="shared" si="369"/>
        <v>0.0233326176836866i</v>
      </c>
      <c r="AU417" s="32">
        <f t="shared" si="393"/>
        <v>2.33326176836866E-2</v>
      </c>
      <c r="AV417" s="32">
        <f t="shared" si="394"/>
        <v>1.5707963267948966</v>
      </c>
      <c r="AW417" s="32" t="str">
        <f t="shared" si="370"/>
        <v>1+4.96771466805581i</v>
      </c>
      <c r="AX417" s="32">
        <f t="shared" si="395"/>
        <v>5.0673650966963928</v>
      </c>
      <c r="AY417" s="32">
        <f t="shared" si="396"/>
        <v>1.3721512662579167</v>
      </c>
      <c r="AZ417" s="32" t="str">
        <f t="shared" si="371"/>
        <v>1+94.3865786930605i</v>
      </c>
      <c r="BA417" s="32">
        <f t="shared" si="397"/>
        <v>94.391875907735312</v>
      </c>
      <c r="BB417" s="32">
        <f t="shared" si="398"/>
        <v>1.5602019965385368</v>
      </c>
      <c r="BC417" s="60" t="str">
        <f t="shared" si="399"/>
        <v>-0.0254809417555763+0.133899345712416i</v>
      </c>
      <c r="BD417" s="51">
        <f t="shared" si="400"/>
        <v>-17.309937204856162</v>
      </c>
      <c r="BE417" s="63">
        <f t="shared" si="401"/>
        <v>100.7745131794326</v>
      </c>
      <c r="BF417" s="60" t="str">
        <f t="shared" si="402"/>
        <v>0.0105527244154441-0.0131605553501311i</v>
      </c>
      <c r="BG417" s="66">
        <f t="shared" si="403"/>
        <v>-35.458258277604031</v>
      </c>
      <c r="BH417" s="63">
        <f t="shared" si="404"/>
        <v>-51.275794867332813</v>
      </c>
      <c r="BI417" s="60" t="e">
        <f t="shared" si="357"/>
        <v>#NUM!</v>
      </c>
      <c r="BJ417" s="66" t="e">
        <f t="shared" si="405"/>
        <v>#NUM!</v>
      </c>
      <c r="BK417" s="63" t="e">
        <f t="shared" si="358"/>
        <v>#NUM!</v>
      </c>
      <c r="BL417" s="51">
        <f t="shared" si="406"/>
        <v>-35.458258277604031</v>
      </c>
      <c r="BM417" s="63">
        <f t="shared" si="407"/>
        <v>-51.275794867332813</v>
      </c>
    </row>
    <row r="418" spans="14:65" x14ac:dyDescent="0.3">
      <c r="N418" s="11">
        <v>100</v>
      </c>
      <c r="O418" s="52">
        <f t="shared" si="359"/>
        <v>100000</v>
      </c>
      <c r="P418" s="50" t="str">
        <f t="shared" si="360"/>
        <v>23.3035714285714</v>
      </c>
      <c r="Q418" s="18" t="str">
        <f t="shared" si="361"/>
        <v>1+336.59921288462i</v>
      </c>
      <c r="R418" s="18">
        <f t="shared" si="372"/>
        <v>336.6006983274778</v>
      </c>
      <c r="S418" s="18">
        <f t="shared" si="373"/>
        <v>1.5678254432643657</v>
      </c>
      <c r="T418" s="18" t="str">
        <f t="shared" si="362"/>
        <v>1+0.628318530717959i</v>
      </c>
      <c r="U418" s="18">
        <f t="shared" si="374"/>
        <v>1.181009812001397</v>
      </c>
      <c r="V418" s="18">
        <f t="shared" si="375"/>
        <v>0.56098211610862403</v>
      </c>
      <c r="W418" s="32" t="str">
        <f t="shared" si="363"/>
        <v>1-1.53588974175501i</v>
      </c>
      <c r="X418" s="18">
        <f t="shared" si="376"/>
        <v>1.8327458358507516</v>
      </c>
      <c r="Y418" s="18">
        <f t="shared" si="377"/>
        <v>-0.9936563523822276</v>
      </c>
      <c r="Z418" s="32" t="str">
        <f t="shared" si="364"/>
        <v>0.96+0.753809449265603i</v>
      </c>
      <c r="AA418" s="18">
        <f t="shared" si="378"/>
        <v>1.2205853865265273</v>
      </c>
      <c r="AB418" s="18">
        <f t="shared" si="379"/>
        <v>0.66566242072419768</v>
      </c>
      <c r="AC418" s="68" t="str">
        <f t="shared" si="380"/>
        <v>-0.109154985929182-0.0561948050652582i</v>
      </c>
      <c r="AD418" s="66">
        <f t="shared" si="381"/>
        <v>-18.218098935983203</v>
      </c>
      <c r="AE418" s="63">
        <f t="shared" si="382"/>
        <v>-152.75983584275752</v>
      </c>
      <c r="AF418" s="51" t="e">
        <f t="shared" si="383"/>
        <v>#NUM!</v>
      </c>
      <c r="AG418" s="51" t="str">
        <f t="shared" si="365"/>
        <v>1-471.23889803847i</v>
      </c>
      <c r="AH418" s="51">
        <f t="shared" si="384"/>
        <v>471.23995907022942</v>
      </c>
      <c r="AI418" s="51">
        <f t="shared" si="385"/>
        <v>-1.5686742640723328</v>
      </c>
      <c r="AJ418" s="51" t="str">
        <f t="shared" si="366"/>
        <v>1+0.628318530717959i</v>
      </c>
      <c r="AK418" s="51">
        <f t="shared" si="386"/>
        <v>1.181009812001397</v>
      </c>
      <c r="AL418" s="51">
        <f t="shared" si="387"/>
        <v>0.56098211610862403</v>
      </c>
      <c r="AM418" s="51" t="e">
        <f t="shared" si="367"/>
        <v>#NUM!</v>
      </c>
      <c r="AN418" s="51" t="e">
        <f t="shared" si="388"/>
        <v>#NUM!</v>
      </c>
      <c r="AO418" s="51" t="e">
        <f t="shared" si="389"/>
        <v>#NUM!</v>
      </c>
      <c r="AP418" s="60" t="e">
        <f t="shared" si="390"/>
        <v>#NUM!</v>
      </c>
      <c r="AQ418" s="51" t="e">
        <f t="shared" si="391"/>
        <v>#NUM!</v>
      </c>
      <c r="AR418" s="63" t="e">
        <f t="shared" si="392"/>
        <v>#NUM!</v>
      </c>
      <c r="AS418" s="32" t="str">
        <f t="shared" si="368"/>
        <v>-0.000170731707317073</v>
      </c>
      <c r="AT418" s="32" t="str">
        <f t="shared" si="369"/>
        <v>0.0238761041672824i</v>
      </c>
      <c r="AU418" s="32">
        <f t="shared" si="393"/>
        <v>2.3876104167282398E-2</v>
      </c>
      <c r="AV418" s="32">
        <f t="shared" si="394"/>
        <v>1.5707963267948966</v>
      </c>
      <c r="AW418" s="32" t="str">
        <f t="shared" si="370"/>
        <v>1+5.08342760747182i</v>
      </c>
      <c r="AX418" s="32">
        <f t="shared" si="395"/>
        <v>5.1808528487505479</v>
      </c>
      <c r="AY418" s="32">
        <f t="shared" si="396"/>
        <v>1.3765588429637021</v>
      </c>
      <c r="AZ418" s="32" t="str">
        <f t="shared" si="371"/>
        <v>1+96.5851245419647i</v>
      </c>
      <c r="BA418" s="32">
        <f t="shared" si="397"/>
        <v>96.590301183849888</v>
      </c>
      <c r="BB418" s="32">
        <f t="shared" si="398"/>
        <v>1.5604431355041726</v>
      </c>
      <c r="BC418" s="60" t="str">
        <f t="shared" si="399"/>
        <v>-0.0243768369321337+0.131068621412602i</v>
      </c>
      <c r="BD418" s="51">
        <f t="shared" si="400"/>
        <v>-17.502340373022946</v>
      </c>
      <c r="BE418" s="63">
        <f t="shared" si="401"/>
        <v>100.53579388131797</v>
      </c>
      <c r="BF418" s="60" t="str">
        <f t="shared" si="402"/>
        <v>0.0100262289227783-0.012936941926541i</v>
      </c>
      <c r="BG418" s="66">
        <f t="shared" si="403"/>
        <v>-35.720439309006167</v>
      </c>
      <c r="BH418" s="63">
        <f t="shared" si="404"/>
        <v>-52.224041961439561</v>
      </c>
      <c r="BI418" s="60" t="e">
        <f t="shared" si="357"/>
        <v>#NUM!</v>
      </c>
      <c r="BJ418" s="66" t="e">
        <f t="shared" si="405"/>
        <v>#NUM!</v>
      </c>
      <c r="BK418" s="63" t="e">
        <f t="shared" si="358"/>
        <v>#NUM!</v>
      </c>
      <c r="BL418" s="51">
        <f t="shared" si="406"/>
        <v>-35.720439309006167</v>
      </c>
      <c r="BM418" s="63">
        <f t="shared" si="407"/>
        <v>-52.224041961439561</v>
      </c>
    </row>
    <row r="419" spans="14:65" x14ac:dyDescent="0.3">
      <c r="N419" s="11">
        <v>1</v>
      </c>
      <c r="O419" s="52">
        <f>10^(5+(N419/100))</f>
        <v>102329.29922807543</v>
      </c>
      <c r="P419" s="50" t="str">
        <f t="shared" si="360"/>
        <v>23.3035714285714</v>
      </c>
      <c r="Q419" s="18" t="str">
        <f t="shared" si="361"/>
        <v>1+344.43961575205i</v>
      </c>
      <c r="R419" s="18">
        <f t="shared" si="372"/>
        <v>344.44106738224446</v>
      </c>
      <c r="S419" s="18">
        <f t="shared" si="373"/>
        <v>1.5678930684453056</v>
      </c>
      <c r="T419" s="18" t="str">
        <f t="shared" si="362"/>
        <v>1+0.642953949403827i</v>
      </c>
      <c r="U419" s="18">
        <f t="shared" si="374"/>
        <v>1.1888607071705157</v>
      </c>
      <c r="V419" s="18">
        <f t="shared" si="375"/>
        <v>0.57140597531246529</v>
      </c>
      <c r="W419" s="32" t="str">
        <f t="shared" si="363"/>
        <v>1-1.5716652096538i</v>
      </c>
      <c r="X419" s="18">
        <f t="shared" si="376"/>
        <v>1.8628289055187335</v>
      </c>
      <c r="Y419" s="18">
        <f t="shared" si="377"/>
        <v>-1.0041353094498195</v>
      </c>
      <c r="Z419" s="32" t="str">
        <f t="shared" si="364"/>
        <v>0.958114858077964+0.771367926948506i</v>
      </c>
      <c r="AA419" s="18">
        <f t="shared" si="378"/>
        <v>1.230037625438585</v>
      </c>
      <c r="AB419" s="18">
        <f t="shared" si="379"/>
        <v>0.677836419899283</v>
      </c>
      <c r="AC419" s="68" t="str">
        <f t="shared" si="380"/>
        <v>-0.10898069950316-0.0544203778777198i</v>
      </c>
      <c r="AD419" s="66">
        <f t="shared" si="381"/>
        <v>-18.286137923443079</v>
      </c>
      <c r="AE419" s="63">
        <f t="shared" si="382"/>
        <v>-153.46438612779545</v>
      </c>
      <c r="AF419" s="51" t="e">
        <f t="shared" si="383"/>
        <v>#NUM!</v>
      </c>
      <c r="AG419" s="51" t="str">
        <f t="shared" si="365"/>
        <v>1-482.215462052871i</v>
      </c>
      <c r="AH419" s="51">
        <f t="shared" si="384"/>
        <v>482.2164989326514</v>
      </c>
      <c r="AI419" s="51">
        <f t="shared" si="385"/>
        <v>-1.5687225679771049</v>
      </c>
      <c r="AJ419" s="51" t="str">
        <f t="shared" si="366"/>
        <v>1+0.642953949403827i</v>
      </c>
      <c r="AK419" s="51">
        <f t="shared" si="386"/>
        <v>1.1888607071705157</v>
      </c>
      <c r="AL419" s="51">
        <f t="shared" si="387"/>
        <v>0.57140597531246529</v>
      </c>
      <c r="AM419" s="51" t="e">
        <f t="shared" si="367"/>
        <v>#NUM!</v>
      </c>
      <c r="AN419" s="51" t="e">
        <f t="shared" si="388"/>
        <v>#NUM!</v>
      </c>
      <c r="AO419" s="51" t="e">
        <f t="shared" si="389"/>
        <v>#NUM!</v>
      </c>
      <c r="AP419" s="60" t="e">
        <f t="shared" si="390"/>
        <v>#NUM!</v>
      </c>
      <c r="AQ419" s="51" t="e">
        <f t="shared" si="391"/>
        <v>#NUM!</v>
      </c>
      <c r="AR419" s="63" t="e">
        <f t="shared" si="392"/>
        <v>#NUM!</v>
      </c>
      <c r="AS419" s="32" t="str">
        <f t="shared" si="368"/>
        <v>-0.000170731707317073</v>
      </c>
      <c r="AT419" s="32" t="str">
        <f t="shared" si="369"/>
        <v>0.0244322500773454i</v>
      </c>
      <c r="AU419" s="32">
        <f t="shared" si="393"/>
        <v>2.44322500773454E-2</v>
      </c>
      <c r="AV419" s="32">
        <f t="shared" si="394"/>
        <v>1.5707963267948966</v>
      </c>
      <c r="AW419" s="32" t="str">
        <f t="shared" si="370"/>
        <v>1+5.20183584749243i</v>
      </c>
      <c r="AX419" s="32">
        <f t="shared" si="395"/>
        <v>5.2970837433683542</v>
      </c>
      <c r="AY419" s="32">
        <f t="shared" si="396"/>
        <v>1.3808734890429384</v>
      </c>
      <c r="AZ419" s="32" t="str">
        <f t="shared" si="371"/>
        <v>1+98.8348811023563i</v>
      </c>
      <c r="BA419" s="32">
        <f t="shared" si="397"/>
        <v>98.839939915587308</v>
      </c>
      <c r="BB419" s="32">
        <f t="shared" si="398"/>
        <v>1.5606787866403034</v>
      </c>
      <c r="BC419" s="60" t="str">
        <f t="shared" si="399"/>
        <v>-0.0233187995291296+0.128288532266313i</v>
      </c>
      <c r="BD419" s="51">
        <f t="shared" si="400"/>
        <v>-17.69507295705538</v>
      </c>
      <c r="BE419" s="63">
        <f t="shared" si="401"/>
        <v>100.30208468642267</v>
      </c>
      <c r="BF419" s="60" t="str">
        <f t="shared" si="402"/>
        <v>0.0095228094875693-0.0127119561025865i</v>
      </c>
      <c r="BG419" s="66">
        <f t="shared" si="403"/>
        <v>-35.981210880498445</v>
      </c>
      <c r="BH419" s="63">
        <f t="shared" si="404"/>
        <v>-53.162301441372861</v>
      </c>
      <c r="BI419" s="60" t="e">
        <f t="shared" si="357"/>
        <v>#NUM!</v>
      </c>
      <c r="BJ419" s="66" t="e">
        <f t="shared" si="405"/>
        <v>#NUM!</v>
      </c>
      <c r="BK419" s="63" t="e">
        <f t="shared" si="358"/>
        <v>#NUM!</v>
      </c>
      <c r="BL419" s="51">
        <f t="shared" si="406"/>
        <v>-35.981210880498445</v>
      </c>
      <c r="BM419" s="63">
        <f t="shared" si="407"/>
        <v>-53.162301441372861</v>
      </c>
    </row>
    <row r="420" spans="14:65" x14ac:dyDescent="0.3">
      <c r="N420" s="11">
        <v>2</v>
      </c>
      <c r="O420" s="52">
        <f t="shared" ref="O420:O483" si="408">10^(5+(N420/100))</f>
        <v>104712.85480508996</v>
      </c>
      <c r="P420" s="50" t="str">
        <f t="shared" si="360"/>
        <v>23.3035714285714</v>
      </c>
      <c r="Q420" s="18" t="str">
        <f t="shared" si="361"/>
        <v>1+352.462645062948i</v>
      </c>
      <c r="R420" s="18">
        <f t="shared" si="372"/>
        <v>352.46406365013962</v>
      </c>
      <c r="S420" s="18">
        <f t="shared" si="373"/>
        <v>1.567959154314853</v>
      </c>
      <c r="T420" s="18" t="str">
        <f t="shared" si="362"/>
        <v>1+0.657930270784171i</v>
      </c>
      <c r="U420" s="18">
        <f t="shared" si="374"/>
        <v>1.1970264162557702</v>
      </c>
      <c r="V420" s="18">
        <f t="shared" si="375"/>
        <v>0.58192991764455904</v>
      </c>
      <c r="W420" s="32" t="str">
        <f t="shared" si="363"/>
        <v>1-1.6082739952502i</v>
      </c>
      <c r="X420" s="18">
        <f t="shared" si="376"/>
        <v>1.8938176374186719</v>
      </c>
      <c r="Y420" s="18">
        <f t="shared" si="377"/>
        <v>-1.0145125525806771</v>
      </c>
      <c r="Z420" s="32" t="str">
        <f t="shared" si="364"/>
        <v>0.956140872154272+0.789335394116539i</v>
      </c>
      <c r="AA420" s="18">
        <f t="shared" si="378"/>
        <v>1.2398611744098789</v>
      </c>
      <c r="AB420" s="18">
        <f t="shared" si="379"/>
        <v>0.69012304655049272</v>
      </c>
      <c r="AC420" s="68" t="str">
        <f t="shared" si="380"/>
        <v>-0.108802732055226-0.0526822715317461i</v>
      </c>
      <c r="AD420" s="66">
        <f t="shared" si="381"/>
        <v>-18.352470566947318</v>
      </c>
      <c r="AE420" s="63">
        <f t="shared" si="382"/>
        <v>-154.1637391756845</v>
      </c>
      <c r="AF420" s="51" t="e">
        <f t="shared" si="383"/>
        <v>#NUM!</v>
      </c>
      <c r="AG420" s="51" t="str">
        <f t="shared" si="365"/>
        <v>1-493.447703088129i</v>
      </c>
      <c r="AH420" s="51">
        <f t="shared" si="384"/>
        <v>493.4487163656932</v>
      </c>
      <c r="AI420" s="51">
        <f t="shared" si="385"/>
        <v>-1.5687697723601164</v>
      </c>
      <c r="AJ420" s="51" t="str">
        <f t="shared" si="366"/>
        <v>1+0.657930270784171i</v>
      </c>
      <c r="AK420" s="51">
        <f t="shared" si="386"/>
        <v>1.1970264162557702</v>
      </c>
      <c r="AL420" s="51">
        <f t="shared" si="387"/>
        <v>0.58192991764455904</v>
      </c>
      <c r="AM420" s="51" t="e">
        <f t="shared" si="367"/>
        <v>#NUM!</v>
      </c>
      <c r="AN420" s="51" t="e">
        <f t="shared" si="388"/>
        <v>#NUM!</v>
      </c>
      <c r="AO420" s="51" t="e">
        <f t="shared" si="389"/>
        <v>#NUM!</v>
      </c>
      <c r="AP420" s="60" t="e">
        <f t="shared" si="390"/>
        <v>#NUM!</v>
      </c>
      <c r="AQ420" s="51" t="e">
        <f t="shared" si="391"/>
        <v>#NUM!</v>
      </c>
      <c r="AR420" s="63" t="e">
        <f t="shared" si="392"/>
        <v>#NUM!</v>
      </c>
      <c r="AS420" s="32" t="str">
        <f t="shared" si="368"/>
        <v>-0.000170731707317073</v>
      </c>
      <c r="AT420" s="32" t="str">
        <f t="shared" si="369"/>
        <v>0.0250013502897985i</v>
      </c>
      <c r="AU420" s="32">
        <f t="shared" si="393"/>
        <v>2.50013502897985E-2</v>
      </c>
      <c r="AV420" s="32">
        <f t="shared" si="394"/>
        <v>1.5707963267948966</v>
      </c>
      <c r="AW420" s="32" t="str">
        <f t="shared" si="370"/>
        <v>1+5.32300216973382i</v>
      </c>
      <c r="AX420" s="32">
        <f t="shared" si="395"/>
        <v>5.4161196533118572</v>
      </c>
      <c r="AY420" s="32">
        <f t="shared" si="396"/>
        <v>1.385096849291281</v>
      </c>
      <c r="AZ420" s="32" t="str">
        <f t="shared" si="371"/>
        <v>1+101.137041224943i</v>
      </c>
      <c r="BA420" s="32">
        <f t="shared" si="397"/>
        <v>101.14198489122023</v>
      </c>
      <c r="BB420" s="32">
        <f t="shared" si="398"/>
        <v>1.5609090747875323</v>
      </c>
      <c r="BC420" s="60" t="str">
        <f t="shared" si="399"/>
        <v>-0.0223050584748306+0.125558774110515i</v>
      </c>
      <c r="BD420" s="51">
        <f t="shared" si="400"/>
        <v>-17.888121192129564</v>
      </c>
      <c r="BE420" s="63">
        <f t="shared" si="401"/>
        <v>100.07329850773753</v>
      </c>
      <c r="BF420" s="60" t="str">
        <f t="shared" si="402"/>
        <v>0.00904157273159647-0.0124860565096265i</v>
      </c>
      <c r="BG420" s="66">
        <f t="shared" si="403"/>
        <v>-36.240591759076885</v>
      </c>
      <c r="BH420" s="63">
        <f t="shared" si="404"/>
        <v>-54.090440667946929</v>
      </c>
      <c r="BI420" s="60" t="e">
        <f t="shared" si="357"/>
        <v>#NUM!</v>
      </c>
      <c r="BJ420" s="66" t="e">
        <f t="shared" si="405"/>
        <v>#NUM!</v>
      </c>
      <c r="BK420" s="63" t="e">
        <f t="shared" si="358"/>
        <v>#NUM!</v>
      </c>
      <c r="BL420" s="51">
        <f t="shared" si="406"/>
        <v>-36.240591759076885</v>
      </c>
      <c r="BM420" s="63">
        <f t="shared" si="407"/>
        <v>-54.090440667946929</v>
      </c>
    </row>
    <row r="421" spans="14:65" x14ac:dyDescent="0.3">
      <c r="N421" s="11">
        <v>3</v>
      </c>
      <c r="O421" s="52">
        <f t="shared" si="408"/>
        <v>107151.93052376082</v>
      </c>
      <c r="P421" s="50" t="str">
        <f t="shared" si="360"/>
        <v>23.3035714285714</v>
      </c>
      <c r="Q421" s="18" t="str">
        <f t="shared" si="361"/>
        <v>1+360.672554733654i</v>
      </c>
      <c r="R421" s="18">
        <f t="shared" si="372"/>
        <v>360.67394102998435</v>
      </c>
      <c r="S421" s="18">
        <f t="shared" si="373"/>
        <v>1.5680237359103002</v>
      </c>
      <c r="T421" s="18" t="str">
        <f t="shared" si="362"/>
        <v>1+0.673255435502822i</v>
      </c>
      <c r="U421" s="18">
        <f t="shared" si="374"/>
        <v>1.2055176819251117</v>
      </c>
      <c r="V421" s="18">
        <f t="shared" si="375"/>
        <v>0.59255019835063549</v>
      </c>
      <c r="W421" s="32" t="str">
        <f t="shared" si="363"/>
        <v>1-1.6457355090069i</v>
      </c>
      <c r="X421" s="18">
        <f t="shared" si="376"/>
        <v>1.9257324231590951</v>
      </c>
      <c r="Y421" s="18">
        <f t="shared" si="377"/>
        <v>-1.0247846436375683</v>
      </c>
      <c r="Z421" s="32" t="str">
        <f t="shared" si="364"/>
        <v>0.954073855140124+0.807721377358623i</v>
      </c>
      <c r="AA421" s="18">
        <f t="shared" si="378"/>
        <v>1.250068295935886</v>
      </c>
      <c r="AB421" s="18">
        <f t="shared" si="379"/>
        <v>0.70251837111700632</v>
      </c>
      <c r="AC421" s="68" t="str">
        <f t="shared" si="380"/>
        <v>-0.10862119620505-0.0509797335698217i</v>
      </c>
      <c r="AD421" s="66">
        <f t="shared" si="381"/>
        <v>-18.417129882135452</v>
      </c>
      <c r="AE421" s="63">
        <f t="shared" si="382"/>
        <v>-154.85768941452542</v>
      </c>
      <c r="AF421" s="51" t="e">
        <f t="shared" si="383"/>
        <v>#NUM!</v>
      </c>
      <c r="AG421" s="51" t="str">
        <f t="shared" si="365"/>
        <v>1-504.941576627118i</v>
      </c>
      <c r="AH421" s="51">
        <f t="shared" si="384"/>
        <v>504.94256683971469</v>
      </c>
      <c r="AI421" s="51">
        <f t="shared" si="385"/>
        <v>-1.5688159022489145</v>
      </c>
      <c r="AJ421" s="51" t="str">
        <f t="shared" si="366"/>
        <v>1+0.673255435502822i</v>
      </c>
      <c r="AK421" s="51">
        <f t="shared" si="386"/>
        <v>1.2055176819251117</v>
      </c>
      <c r="AL421" s="51">
        <f t="shared" si="387"/>
        <v>0.59255019835063549</v>
      </c>
      <c r="AM421" s="51" t="e">
        <f t="shared" si="367"/>
        <v>#NUM!</v>
      </c>
      <c r="AN421" s="51" t="e">
        <f t="shared" si="388"/>
        <v>#NUM!</v>
      </c>
      <c r="AO421" s="51" t="e">
        <f t="shared" si="389"/>
        <v>#NUM!</v>
      </c>
      <c r="AP421" s="60" t="e">
        <f t="shared" si="390"/>
        <v>#NUM!</v>
      </c>
      <c r="AQ421" s="51" t="e">
        <f t="shared" si="391"/>
        <v>#NUM!</v>
      </c>
      <c r="AR421" s="63" t="e">
        <f t="shared" si="392"/>
        <v>#NUM!</v>
      </c>
      <c r="AS421" s="32" t="str">
        <f t="shared" si="368"/>
        <v>-0.000170731707317073</v>
      </c>
      <c r="AT421" s="32" t="str">
        <f t="shared" si="369"/>
        <v>0.0255837065491072i</v>
      </c>
      <c r="AU421" s="32">
        <f t="shared" si="393"/>
        <v>2.5583706549107198E-2</v>
      </c>
      <c r="AV421" s="32">
        <f t="shared" si="394"/>
        <v>1.5707963267948966</v>
      </c>
      <c r="AW421" s="32" t="str">
        <f t="shared" si="370"/>
        <v>1+5.44699081818388i</v>
      </c>
      <c r="AX421" s="32">
        <f t="shared" si="395"/>
        <v>5.5380239231497992</v>
      </c>
      <c r="AY421" s="32">
        <f t="shared" si="396"/>
        <v>1.3892305600489019</v>
      </c>
      <c r="AZ421" s="32" t="str">
        <f t="shared" si="371"/>
        <v>1+103.492825545494i</v>
      </c>
      <c r="BA421" s="32">
        <f t="shared" si="397"/>
        <v>103.49765668550208</v>
      </c>
      <c r="BB421" s="32">
        <f t="shared" si="398"/>
        <v>1.5611341219499248</v>
      </c>
      <c r="BC421" s="60" t="str">
        <f t="shared" si="399"/>
        <v>-0.0213338978683229+0.122879000528417i</v>
      </c>
      <c r="BD421" s="51">
        <f t="shared" si="400"/>
        <v>-18.081471844337912</v>
      </c>
      <c r="BE421" s="63">
        <f t="shared" si="401"/>
        <v>99.849348580194516</v>
      </c>
      <c r="BF421" s="60" t="str">
        <f t="shared" si="402"/>
        <v>0.00858165221443828-0.0122596675965447i</v>
      </c>
      <c r="BG421" s="66">
        <f t="shared" si="403"/>
        <v>-36.498601726473382</v>
      </c>
      <c r="BH421" s="63">
        <f t="shared" si="404"/>
        <v>-55.008340834330809</v>
      </c>
      <c r="BI421" s="60" t="e">
        <f t="shared" si="357"/>
        <v>#NUM!</v>
      </c>
      <c r="BJ421" s="66" t="e">
        <f t="shared" si="405"/>
        <v>#NUM!</v>
      </c>
      <c r="BK421" s="63" t="e">
        <f t="shared" si="358"/>
        <v>#NUM!</v>
      </c>
      <c r="BL421" s="51">
        <f t="shared" si="406"/>
        <v>-36.498601726473382</v>
      </c>
      <c r="BM421" s="63">
        <f t="shared" si="407"/>
        <v>-55.008340834330809</v>
      </c>
    </row>
    <row r="422" spans="14:65" x14ac:dyDescent="0.3">
      <c r="N422" s="11">
        <v>4</v>
      </c>
      <c r="O422" s="52">
        <f t="shared" si="408"/>
        <v>109647.81961431868</v>
      </c>
      <c r="P422" s="50" t="str">
        <f t="shared" si="360"/>
        <v>23.3035714285714</v>
      </c>
      <c r="Q422" s="18" t="str">
        <f t="shared" si="361"/>
        <v>1+369.073697766945i</v>
      </c>
      <c r="R422" s="18">
        <f t="shared" si="372"/>
        <v>369.07505250743543</v>
      </c>
      <c r="S422" s="18">
        <f t="shared" si="373"/>
        <v>1.5680868474715082</v>
      </c>
      <c r="T422" s="18" t="str">
        <f t="shared" si="362"/>
        <v>1+0.688937569164965i</v>
      </c>
      <c r="U422" s="18">
        <f t="shared" si="374"/>
        <v>1.21434549210961</v>
      </c>
      <c r="V422" s="18">
        <f t="shared" si="375"/>
        <v>0.60326286542206364</v>
      </c>
      <c r="W422" s="32" t="str">
        <f t="shared" si="363"/>
        <v>1-1.68406961351436i</v>
      </c>
      <c r="X422" s="18">
        <f t="shared" si="376"/>
        <v>1.9585940016150374</v>
      </c>
      <c r="Y422" s="18">
        <f t="shared" si="377"/>
        <v>-1.0349483576660319</v>
      </c>
      <c r="Z422" s="32" t="str">
        <f t="shared" si="364"/>
        <v>0.951909422615303+0.826535625166437i</v>
      </c>
      <c r="AA422" s="18">
        <f t="shared" si="378"/>
        <v>1.2606715228532264</v>
      </c>
      <c r="AB422" s="18">
        <f t="shared" si="379"/>
        <v>0.71501829786634652</v>
      </c>
      <c r="AC422" s="68" t="str">
        <f t="shared" si="380"/>
        <v>-0.108436211039118-0.0493120232890587i</v>
      </c>
      <c r="AD422" s="66">
        <f t="shared" si="381"/>
        <v>-18.480149263898237</v>
      </c>
      <c r="AE422" s="63">
        <f t="shared" si="382"/>
        <v>-155.5460457950683</v>
      </c>
      <c r="AF422" s="51" t="e">
        <f t="shared" si="383"/>
        <v>#NUM!</v>
      </c>
      <c r="AG422" s="51" t="str">
        <f t="shared" si="365"/>
        <v>1-516.703176873725i</v>
      </c>
      <c r="AH422" s="51">
        <f t="shared" si="384"/>
        <v>516.70414454637375</v>
      </c>
      <c r="AI422" s="51">
        <f t="shared" si="385"/>
        <v>-1.568860982101391</v>
      </c>
      <c r="AJ422" s="51" t="str">
        <f t="shared" si="366"/>
        <v>1+0.688937569164965i</v>
      </c>
      <c r="AK422" s="51">
        <f t="shared" si="386"/>
        <v>1.21434549210961</v>
      </c>
      <c r="AL422" s="51">
        <f t="shared" si="387"/>
        <v>0.60326286542206364</v>
      </c>
      <c r="AM422" s="51" t="e">
        <f t="shared" si="367"/>
        <v>#NUM!</v>
      </c>
      <c r="AN422" s="51" t="e">
        <f t="shared" si="388"/>
        <v>#NUM!</v>
      </c>
      <c r="AO422" s="51" t="e">
        <f t="shared" si="389"/>
        <v>#NUM!</v>
      </c>
      <c r="AP422" s="60" t="e">
        <f t="shared" si="390"/>
        <v>#NUM!</v>
      </c>
      <c r="AQ422" s="51" t="e">
        <f t="shared" si="391"/>
        <v>#NUM!</v>
      </c>
      <c r="AR422" s="63" t="e">
        <f t="shared" si="392"/>
        <v>#NUM!</v>
      </c>
      <c r="AS422" s="32" t="str">
        <f t="shared" si="368"/>
        <v>-0.000170731707317073</v>
      </c>
      <c r="AT422" s="32" t="str">
        <f t="shared" si="369"/>
        <v>0.0261796276282687i</v>
      </c>
      <c r="AU422" s="32">
        <f t="shared" si="393"/>
        <v>2.6179627628268701E-2</v>
      </c>
      <c r="AV422" s="32">
        <f t="shared" si="394"/>
        <v>1.5707963267948966</v>
      </c>
      <c r="AW422" s="32" t="str">
        <f t="shared" si="370"/>
        <v>1+5.57386753326517i</v>
      </c>
      <c r="AX422" s="32">
        <f t="shared" si="395"/>
        <v>5.6628614037770291</v>
      </c>
      <c r="AY422" s="32">
        <f t="shared" si="396"/>
        <v>1.3932762477072422</v>
      </c>
      <c r="AZ422" s="32" t="str">
        <f t="shared" si="371"/>
        <v>1+105.903483132038i</v>
      </c>
      <c r="BA422" s="32">
        <f t="shared" si="397"/>
        <v>105.90820430683289</v>
      </c>
      <c r="BB422" s="32">
        <f t="shared" si="398"/>
        <v>1.5613540473592307</v>
      </c>
      <c r="BC422" s="60" t="str">
        <f t="shared" si="399"/>
        <v>-0.020403656405538+0.120248826346981i</v>
      </c>
      <c r="BD422" s="51">
        <f t="shared" si="400"/>
        <v>-18.275112194000112</v>
      </c>
      <c r="BE422" s="63">
        <f t="shared" si="401"/>
        <v>99.630148549904376</v>
      </c>
      <c r="BF422" s="60" t="str">
        <f t="shared" si="402"/>
        <v>0.00814220811726487-0.0120331815311156i</v>
      </c>
      <c r="BG422" s="66">
        <f t="shared" si="403"/>
        <v>-36.755261457898371</v>
      </c>
      <c r="BH422" s="63">
        <f t="shared" si="404"/>
        <v>-55.915897245163833</v>
      </c>
      <c r="BI422" s="60" t="e">
        <f t="shared" si="357"/>
        <v>#NUM!</v>
      </c>
      <c r="BJ422" s="66" t="e">
        <f t="shared" si="405"/>
        <v>#NUM!</v>
      </c>
      <c r="BK422" s="63" t="e">
        <f t="shared" si="358"/>
        <v>#NUM!</v>
      </c>
      <c r="BL422" s="51">
        <f t="shared" si="406"/>
        <v>-36.755261457898371</v>
      </c>
      <c r="BM422" s="63">
        <f t="shared" si="407"/>
        <v>-55.915897245163833</v>
      </c>
    </row>
    <row r="423" spans="14:65" x14ac:dyDescent="0.3">
      <c r="N423" s="11">
        <v>5</v>
      </c>
      <c r="O423" s="52">
        <f t="shared" si="408"/>
        <v>112201.84543019651</v>
      </c>
      <c r="P423" s="50" t="str">
        <f t="shared" si="360"/>
        <v>23.3035714285714</v>
      </c>
      <c r="Q423" s="18" t="str">
        <f t="shared" si="361"/>
        <v>1+377.67052856006i</v>
      </c>
      <c r="R423" s="18">
        <f t="shared" si="372"/>
        <v>377.67185246300141</v>
      </c>
      <c r="S423" s="18">
        <f t="shared" si="373"/>
        <v>1.5681485224590497</v>
      </c>
      <c r="T423" s="18" t="str">
        <f t="shared" si="362"/>
        <v>1+0.704984986645446i</v>
      </c>
      <c r="U423" s="18">
        <f t="shared" si="374"/>
        <v>1.2235210792607865</v>
      </c>
      <c r="V423" s="18">
        <f t="shared" si="375"/>
        <v>0.61406376366012105</v>
      </c>
      <c r="W423" s="32" t="str">
        <f t="shared" si="363"/>
        <v>1-1.7232966340222i</v>
      </c>
      <c r="X423" s="18">
        <f t="shared" si="376"/>
        <v>1.9924234712611284</v>
      </c>
      <c r="Y423" s="18">
        <f t="shared" si="377"/>
        <v>-1.0450006837347965</v>
      </c>
      <c r="Z423" s="32" t="str">
        <f t="shared" si="364"/>
        <v>0.949642983528233+0.845788113103208i</v>
      </c>
      <c r="AA423" s="18">
        <f t="shared" si="378"/>
        <v>1.2716836589463154</v>
      </c>
      <c r="AB423" s="18">
        <f t="shared" si="379"/>
        <v>0.72761857364575688</v>
      </c>
      <c r="AC423" s="68" t="str">
        <f t="shared" si="380"/>
        <v>-0.108247901767714-0.0476784106167184i</v>
      </c>
      <c r="AD423" s="66">
        <f t="shared" si="381"/>
        <v>-18.541562386768298</v>
      </c>
      <c r="AE423" s="63">
        <f t="shared" si="382"/>
        <v>-156.22863210845568</v>
      </c>
      <c r="AF423" s="51" t="e">
        <f t="shared" si="383"/>
        <v>#NUM!</v>
      </c>
      <c r="AG423" s="51" t="str">
        <f t="shared" si="365"/>
        <v>1-528.738739984086i</v>
      </c>
      <c r="AH423" s="51">
        <f t="shared" si="384"/>
        <v>528.7396856298559</v>
      </c>
      <c r="AI423" s="51">
        <f t="shared" si="385"/>
        <v>-1.5689050358187471</v>
      </c>
      <c r="AJ423" s="51" t="str">
        <f t="shared" si="366"/>
        <v>1+0.704984986645446i</v>
      </c>
      <c r="AK423" s="51">
        <f t="shared" si="386"/>
        <v>1.2235210792607865</v>
      </c>
      <c r="AL423" s="51">
        <f t="shared" si="387"/>
        <v>0.61406376366012105</v>
      </c>
      <c r="AM423" s="51" t="e">
        <f t="shared" si="367"/>
        <v>#NUM!</v>
      </c>
      <c r="AN423" s="51" t="e">
        <f t="shared" si="388"/>
        <v>#NUM!</v>
      </c>
      <c r="AO423" s="51" t="e">
        <f t="shared" si="389"/>
        <v>#NUM!</v>
      </c>
      <c r="AP423" s="60" t="e">
        <f t="shared" si="390"/>
        <v>#NUM!</v>
      </c>
      <c r="AQ423" s="51" t="e">
        <f t="shared" si="391"/>
        <v>#NUM!</v>
      </c>
      <c r="AR423" s="63" t="e">
        <f t="shared" si="392"/>
        <v>#NUM!</v>
      </c>
      <c r="AS423" s="32" t="str">
        <f t="shared" si="368"/>
        <v>-0.000170731707317073</v>
      </c>
      <c r="AT423" s="32" t="str">
        <f t="shared" si="369"/>
        <v>0.0267894294925269i</v>
      </c>
      <c r="AU423" s="32">
        <f t="shared" si="393"/>
        <v>2.6789429492526901E-2</v>
      </c>
      <c r="AV423" s="32">
        <f t="shared" si="394"/>
        <v>1.5707963267948966</v>
      </c>
      <c r="AW423" s="32" t="str">
        <f t="shared" si="370"/>
        <v>1+5.70369958669146i</v>
      </c>
      <c r="AX423" s="32">
        <f t="shared" si="395"/>
        <v>5.7906984876804222</v>
      </c>
      <c r="AY423" s="32">
        <f t="shared" si="396"/>
        <v>1.3972355273372896</v>
      </c>
      <c r="AZ423" s="32" t="str">
        <f t="shared" si="371"/>
        <v>1+108.370292147138i</v>
      </c>
      <c r="BA423" s="32">
        <f t="shared" si="397"/>
        <v>108.37490585950255</v>
      </c>
      <c r="BB423" s="32">
        <f t="shared" si="398"/>
        <v>1.5615689675376667</v>
      </c>
      <c r="BC423" s="60" t="str">
        <f t="shared" si="399"/>
        <v>-0.0195127266929309+0.117667830957871i</v>
      </c>
      <c r="BD423" s="51">
        <f t="shared" si="400"/>
        <v>-18.469030019162094</v>
      </c>
      <c r="BE423" s="63">
        <f t="shared" si="401"/>
        <v>99.415612556347114</v>
      </c>
      <c r="BF423" s="60" t="str">
        <f t="shared" si="402"/>
        <v>0.00772242688306462-0.0118069600112302i</v>
      </c>
      <c r="BG423" s="66">
        <f t="shared" si="403"/>
        <v>-37.01059240593041</v>
      </c>
      <c r="BH423" s="63">
        <f t="shared" si="404"/>
        <v>-56.813019552108472</v>
      </c>
      <c r="BI423" s="60" t="e">
        <f t="shared" si="357"/>
        <v>#NUM!</v>
      </c>
      <c r="BJ423" s="66" t="e">
        <f t="shared" si="405"/>
        <v>#NUM!</v>
      </c>
      <c r="BK423" s="63" t="e">
        <f t="shared" si="358"/>
        <v>#NUM!</v>
      </c>
      <c r="BL423" s="51">
        <f t="shared" si="406"/>
        <v>-37.01059240593041</v>
      </c>
      <c r="BM423" s="63">
        <f t="shared" si="407"/>
        <v>-56.813019552108472</v>
      </c>
    </row>
    <row r="424" spans="14:65" x14ac:dyDescent="0.3">
      <c r="N424" s="11">
        <v>6</v>
      </c>
      <c r="O424" s="52">
        <f t="shared" si="408"/>
        <v>114815.36214968823</v>
      </c>
      <c r="P424" s="50" t="str">
        <f t="shared" si="360"/>
        <v>23.3035714285714</v>
      </c>
      <c r="Q424" s="18" t="str">
        <f t="shared" si="361"/>
        <v>1+386.467605266476i</v>
      </c>
      <c r="R424" s="18">
        <f t="shared" si="372"/>
        <v>386.46889903380929</v>
      </c>
      <c r="S424" s="18">
        <f t="shared" si="373"/>
        <v>1.5682087935719413</v>
      </c>
      <c r="T424" s="18" t="str">
        <f t="shared" si="362"/>
        <v>1+0.721406196497424i</v>
      </c>
      <c r="U424" s="18">
        <f t="shared" si="374"/>
        <v>1.2330559193908766</v>
      </c>
      <c r="V424" s="18">
        <f t="shared" si="375"/>
        <v>0.6249485397235055</v>
      </c>
      <c r="W424" s="32" t="str">
        <f t="shared" si="363"/>
        <v>1-1.76343736921593i</v>
      </c>
      <c r="X424" s="18">
        <f t="shared" si="376"/>
        <v>2.0272423030183639</v>
      </c>
      <c r="Y424" s="18">
        <f t="shared" si="377"/>
        <v>-1.0549388249180287</v>
      </c>
      <c r="Z424" s="32" t="str">
        <f t="shared" si="364"/>
        <v>0.947269730457744+0.865489049092872i</v>
      </c>
      <c r="AA424" s="18">
        <f t="shared" si="378"/>
        <v>1.2831177796060544</v>
      </c>
      <c r="AB424" s="18">
        <f t="shared" si="379"/>
        <v>0.74031479759226937</v>
      </c>
      <c r="AC424" s="68" t="str">
        <f t="shared" si="380"/>
        <v>-0.108056399313682-0.046078175015187i</v>
      </c>
      <c r="AD424" s="66">
        <f t="shared" si="381"/>
        <v>-18.601403110910418</v>
      </c>
      <c r="AE424" s="63">
        <f t="shared" si="382"/>
        <v>-156.90528725336648</v>
      </c>
      <c r="AF424" s="51" t="e">
        <f t="shared" si="383"/>
        <v>#NUM!</v>
      </c>
      <c r="AG424" s="51" t="str">
        <f t="shared" si="365"/>
        <v>1-541.054647373069i</v>
      </c>
      <c r="AH424" s="51">
        <f t="shared" si="384"/>
        <v>541.05557149335039</v>
      </c>
      <c r="AI424" s="51">
        <f t="shared" si="385"/>
        <v>-1.5689480867581624</v>
      </c>
      <c r="AJ424" s="51" t="str">
        <f t="shared" si="366"/>
        <v>1+0.721406196497424i</v>
      </c>
      <c r="AK424" s="51">
        <f t="shared" si="386"/>
        <v>1.2330559193908766</v>
      </c>
      <c r="AL424" s="51">
        <f t="shared" si="387"/>
        <v>0.6249485397235055</v>
      </c>
      <c r="AM424" s="51" t="e">
        <f t="shared" si="367"/>
        <v>#NUM!</v>
      </c>
      <c r="AN424" s="51" t="e">
        <f t="shared" si="388"/>
        <v>#NUM!</v>
      </c>
      <c r="AO424" s="51" t="e">
        <f t="shared" si="389"/>
        <v>#NUM!</v>
      </c>
      <c r="AP424" s="60" t="e">
        <f t="shared" si="390"/>
        <v>#NUM!</v>
      </c>
      <c r="AQ424" s="51" t="e">
        <f t="shared" si="391"/>
        <v>#NUM!</v>
      </c>
      <c r="AR424" s="63" t="e">
        <f t="shared" si="392"/>
        <v>#NUM!</v>
      </c>
      <c r="AS424" s="32" t="str">
        <f t="shared" si="368"/>
        <v>-0.000170731707317073</v>
      </c>
      <c r="AT424" s="32" t="str">
        <f t="shared" si="369"/>
        <v>0.0274134354669021i</v>
      </c>
      <c r="AU424" s="32">
        <f t="shared" si="393"/>
        <v>2.74134354669021E-2</v>
      </c>
      <c r="AV424" s="32">
        <f t="shared" si="394"/>
        <v>1.5707963267948966</v>
      </c>
      <c r="AW424" s="32" t="str">
        <f t="shared" si="370"/>
        <v>1+5.83655581713599i</v>
      </c>
      <c r="AX424" s="32">
        <f t="shared" si="395"/>
        <v>5.921603144972142</v>
      </c>
      <c r="AY424" s="32">
        <f t="shared" si="396"/>
        <v>1.4011100014331883</v>
      </c>
      <c r="AZ424" s="32" t="str">
        <f t="shared" si="371"/>
        <v>1+110.894560525584i</v>
      </c>
      <c r="BA424" s="32">
        <f t="shared" si="397"/>
        <v>110.89906922135286</v>
      </c>
      <c r="BB424" s="32">
        <f t="shared" si="398"/>
        <v>1.5617789963592921</v>
      </c>
      <c r="BC424" s="60" t="str">
        <f t="shared" si="399"/>
        <v>-0.0186595544625737+0.115135561465665i</v>
      </c>
      <c r="BD424" s="51">
        <f t="shared" si="400"/>
        <v>-18.663213579317553</v>
      </c>
      <c r="BE424" s="63">
        <f t="shared" si="401"/>
        <v>99.205655307874537</v>
      </c>
      <c r="BF424" s="60" t="str">
        <f t="shared" si="402"/>
        <v>0.00732152081970999-0.011581335988707i</v>
      </c>
      <c r="BG424" s="66">
        <f t="shared" si="403"/>
        <v>-37.264616690227967</v>
      </c>
      <c r="BH424" s="63">
        <f t="shared" si="404"/>
        <v>-57.699631945491966</v>
      </c>
      <c r="BI424" s="60" t="e">
        <f t="shared" si="357"/>
        <v>#NUM!</v>
      </c>
      <c r="BJ424" s="66" t="e">
        <f t="shared" si="405"/>
        <v>#NUM!</v>
      </c>
      <c r="BK424" s="63" t="e">
        <f t="shared" si="358"/>
        <v>#NUM!</v>
      </c>
      <c r="BL424" s="51">
        <f t="shared" si="406"/>
        <v>-37.264616690227967</v>
      </c>
      <c r="BM424" s="63">
        <f t="shared" si="407"/>
        <v>-57.699631945491966</v>
      </c>
    </row>
    <row r="425" spans="14:65" x14ac:dyDescent="0.3">
      <c r="N425" s="11">
        <v>7</v>
      </c>
      <c r="O425" s="52">
        <f t="shared" si="408"/>
        <v>117489.75549395311</v>
      </c>
      <c r="P425" s="50" t="str">
        <f t="shared" si="360"/>
        <v>23.3035714285714</v>
      </c>
      <c r="Q425" s="18" t="str">
        <f t="shared" si="361"/>
        <v>1+395.469592212711i</v>
      </c>
      <c r="R425" s="18">
        <f t="shared" si="372"/>
        <v>395.4708565303996</v>
      </c>
      <c r="S425" s="18">
        <f t="shared" si="373"/>
        <v>1.568267692764973</v>
      </c>
      <c r="T425" s="18" t="str">
        <f t="shared" si="362"/>
        <v>1+0.738209905463728i</v>
      </c>
      <c r="U425" s="18">
        <f t="shared" si="374"/>
        <v>1.2429617309172338</v>
      </c>
      <c r="V425" s="18">
        <f t="shared" si="375"/>
        <v>0.63591264816819815</v>
      </c>
      <c r="W425" s="32" t="str">
        <f t="shared" si="363"/>
        <v>1-1.80451310224467i</v>
      </c>
      <c r="X425" s="18">
        <f t="shared" si="376"/>
        <v>2.0630723535961319</v>
      </c>
      <c r="Y425" s="18">
        <f t="shared" si="377"/>
        <v>-1.0647601974623941</v>
      </c>
      <c r="Z425" s="32" t="str">
        <f t="shared" si="364"/>
        <v>0.944784629415884+0.885648878832471i</v>
      </c>
      <c r="AA425" s="18">
        <f t="shared" si="378"/>
        <v>1.2949872325848322</v>
      </c>
      <c r="AB425" s="18">
        <f t="shared" si="379"/>
        <v>0.75310243177077374</v>
      </c>
      <c r="AC425" s="68" t="str">
        <f t="shared" si="380"/>
        <v>-0.107861839833984-0.044510604422994i</v>
      </c>
      <c r="AD425" s="66">
        <f t="shared" si="381"/>
        <v>-18.659705394268801</v>
      </c>
      <c r="AE425" s="63">
        <f t="shared" si="382"/>
        <v>-157.57586545274256</v>
      </c>
      <c r="AF425" s="51" t="e">
        <f t="shared" si="383"/>
        <v>#NUM!</v>
      </c>
      <c r="AG425" s="51" t="str">
        <f t="shared" si="365"/>
        <v>1-553.657429097797i</v>
      </c>
      <c r="AH425" s="51">
        <f t="shared" si="384"/>
        <v>553.65833218256728</v>
      </c>
      <c r="AI425" s="51">
        <f t="shared" si="385"/>
        <v>-1.5689901577451761</v>
      </c>
      <c r="AJ425" s="51" t="str">
        <f t="shared" si="366"/>
        <v>1+0.738209905463728i</v>
      </c>
      <c r="AK425" s="51">
        <f t="shared" si="386"/>
        <v>1.2429617309172338</v>
      </c>
      <c r="AL425" s="51">
        <f t="shared" si="387"/>
        <v>0.63591264816819815</v>
      </c>
      <c r="AM425" s="51" t="e">
        <f t="shared" si="367"/>
        <v>#NUM!</v>
      </c>
      <c r="AN425" s="51" t="e">
        <f t="shared" si="388"/>
        <v>#NUM!</v>
      </c>
      <c r="AO425" s="51" t="e">
        <f t="shared" si="389"/>
        <v>#NUM!</v>
      </c>
      <c r="AP425" s="60" t="e">
        <f t="shared" si="390"/>
        <v>#NUM!</v>
      </c>
      <c r="AQ425" s="51" t="e">
        <f t="shared" si="391"/>
        <v>#NUM!</v>
      </c>
      <c r="AR425" s="63" t="e">
        <f t="shared" si="392"/>
        <v>#NUM!</v>
      </c>
      <c r="AS425" s="32" t="str">
        <f t="shared" si="368"/>
        <v>-0.000170731707317073</v>
      </c>
      <c r="AT425" s="32" t="str">
        <f t="shared" si="369"/>
        <v>0.0280519764076217i</v>
      </c>
      <c r="AU425" s="32">
        <f t="shared" si="393"/>
        <v>2.80519764076217E-2</v>
      </c>
      <c r="AV425" s="32">
        <f t="shared" si="394"/>
        <v>1.5707963267948966</v>
      </c>
      <c r="AW425" s="32" t="str">
        <f t="shared" si="370"/>
        <v>1+5.97250666673074i</v>
      </c>
      <c r="AX425" s="32">
        <f t="shared" si="395"/>
        <v>6.0556449602121765</v>
      </c>
      <c r="AY425" s="32">
        <f t="shared" si="396"/>
        <v>1.4049012587651524</v>
      </c>
      <c r="AZ425" s="32" t="str">
        <f t="shared" si="371"/>
        <v>1+113.477626667884i</v>
      </c>
      <c r="BA425" s="32">
        <f t="shared" si="397"/>
        <v>113.48203273723846</v>
      </c>
      <c r="BB425" s="32">
        <f t="shared" si="398"/>
        <v>1.561984245110007</v>
      </c>
      <c r="BC425" s="60" t="str">
        <f t="shared" si="399"/>
        <v>-0.0178426377014272+0.1126515356677i</v>
      </c>
      <c r="BD425" s="51">
        <f t="shared" si="400"/>
        <v>-18.857651599377952</v>
      </c>
      <c r="BE425" s="63">
        <f t="shared" si="401"/>
        <v>99.0001921508713</v>
      </c>
      <c r="BF425" s="60" t="str">
        <f t="shared" si="402"/>
        <v>0.00693872767171494-0.0113566153086508i</v>
      </c>
      <c r="BG425" s="66">
        <f t="shared" si="403"/>
        <v>-37.517356993646736</v>
      </c>
      <c r="BH425" s="63">
        <f t="shared" si="404"/>
        <v>-58.575673301871326</v>
      </c>
      <c r="BI425" s="60" t="e">
        <f t="shared" si="357"/>
        <v>#NUM!</v>
      </c>
      <c r="BJ425" s="66" t="e">
        <f t="shared" si="405"/>
        <v>#NUM!</v>
      </c>
      <c r="BK425" s="63" t="e">
        <f t="shared" si="358"/>
        <v>#NUM!</v>
      </c>
      <c r="BL425" s="51">
        <f t="shared" si="406"/>
        <v>-37.517356993646736</v>
      </c>
      <c r="BM425" s="63">
        <f t="shared" si="407"/>
        <v>-58.575673301871326</v>
      </c>
    </row>
    <row r="426" spans="14:65" x14ac:dyDescent="0.3">
      <c r="N426" s="11">
        <v>8</v>
      </c>
      <c r="O426" s="52">
        <f t="shared" si="408"/>
        <v>120226.44346174144</v>
      </c>
      <c r="P426" s="50" t="str">
        <f t="shared" si="360"/>
        <v>23.3035714285714</v>
      </c>
      <c r="Q426" s="18" t="str">
        <f t="shared" si="361"/>
        <v>1+404.681262371394i</v>
      </c>
      <c r="R426" s="18">
        <f t="shared" si="372"/>
        <v>404.68249790978734</v>
      </c>
      <c r="S426" s="18">
        <f t="shared" si="373"/>
        <v>1.5683252512656405</v>
      </c>
      <c r="T426" s="18" t="str">
        <f t="shared" si="362"/>
        <v>1+0.755405023093271i</v>
      </c>
      <c r="U426" s="18">
        <f t="shared" si="374"/>
        <v>1.2532504733350573</v>
      </c>
      <c r="V426" s="18">
        <f t="shared" si="375"/>
        <v>0.64695135848051188</v>
      </c>
      <c r="W426" s="32" t="str">
        <f t="shared" si="363"/>
        <v>1-1.84654561200577i</v>
      </c>
      <c r="X426" s="18">
        <f t="shared" si="376"/>
        <v>2.0999358793110239</v>
      </c>
      <c r="Y426" s="18">
        <f t="shared" si="377"/>
        <v>-1.0744624291858174</v>
      </c>
      <c r="Z426" s="32" t="str">
        <f t="shared" si="364"/>
        <v>0.942182409170163+0.906278291330574i</v>
      </c>
      <c r="AA426" s="18">
        <f t="shared" si="378"/>
        <v>1.3073056388950357</v>
      </c>
      <c r="AB426" s="18">
        <f t="shared" si="379"/>
        <v>0.76597681269996332</v>
      </c>
      <c r="AC426" s="68" t="str">
        <f t="shared" si="380"/>
        <v>-0.107664364175888-0.0429749942384552i</v>
      </c>
      <c r="AD426" s="66">
        <f t="shared" si="381"/>
        <v>-18.716503211336207</v>
      </c>
      <c r="AE426" s="63">
        <f t="shared" si="382"/>
        <v>-158.24023642043915</v>
      </c>
      <c r="AF426" s="51" t="e">
        <f t="shared" si="383"/>
        <v>#NUM!</v>
      </c>
      <c r="AG426" s="51" t="str">
        <f t="shared" si="365"/>
        <v>1-566.553767319955i</v>
      </c>
      <c r="AH426" s="51">
        <f t="shared" si="384"/>
        <v>566.55464984803871</v>
      </c>
      <c r="AI426" s="51">
        <f t="shared" si="385"/>
        <v>-1.5690312710857865</v>
      </c>
      <c r="AJ426" s="51" t="str">
        <f t="shared" si="366"/>
        <v>1+0.755405023093271i</v>
      </c>
      <c r="AK426" s="51">
        <f t="shared" si="386"/>
        <v>1.2532504733350573</v>
      </c>
      <c r="AL426" s="51">
        <f t="shared" si="387"/>
        <v>0.64695135848051188</v>
      </c>
      <c r="AM426" s="51" t="e">
        <f t="shared" si="367"/>
        <v>#NUM!</v>
      </c>
      <c r="AN426" s="51" t="e">
        <f t="shared" si="388"/>
        <v>#NUM!</v>
      </c>
      <c r="AO426" s="51" t="e">
        <f t="shared" si="389"/>
        <v>#NUM!</v>
      </c>
      <c r="AP426" s="60" t="e">
        <f t="shared" si="390"/>
        <v>#NUM!</v>
      </c>
      <c r="AQ426" s="51" t="e">
        <f t="shared" si="391"/>
        <v>#NUM!</v>
      </c>
      <c r="AR426" s="63" t="e">
        <f t="shared" si="392"/>
        <v>#NUM!</v>
      </c>
      <c r="AS426" s="32" t="str">
        <f t="shared" si="368"/>
        <v>-0.000170731707317073</v>
      </c>
      <c r="AT426" s="32" t="str">
        <f t="shared" si="369"/>
        <v>0.0287053908775443i</v>
      </c>
      <c r="AU426" s="32">
        <f t="shared" si="393"/>
        <v>2.8705390877544298E-2</v>
      </c>
      <c r="AV426" s="32">
        <f t="shared" si="394"/>
        <v>1.5707963267948966</v>
      </c>
      <c r="AW426" s="32" t="str">
        <f t="shared" si="370"/>
        <v>1+6.11162421841566i</v>
      </c>
      <c r="AX426" s="32">
        <f t="shared" si="395"/>
        <v>6.192895170041619</v>
      </c>
      <c r="AY426" s="32">
        <f t="shared" si="396"/>
        <v>1.4086108733357976</v>
      </c>
      <c r="AZ426" s="32" t="str">
        <f t="shared" si="371"/>
        <v>1+116.120860149898i</v>
      </c>
      <c r="BA426" s="32">
        <f t="shared" si="397"/>
        <v>116.12516592863136</v>
      </c>
      <c r="BB426" s="32">
        <f t="shared" si="398"/>
        <v>1.5621848225462043</v>
      </c>
      <c r="BC426" s="60" t="str">
        <f t="shared" si="399"/>
        <v>-0.0170605257065835+0.110215244870251i</v>
      </c>
      <c r="BD426" s="51">
        <f t="shared" si="400"/>
        <v>-19.052333253917581</v>
      </c>
      <c r="BE426" s="63">
        <f t="shared" si="401"/>
        <v>98.799139132912771</v>
      </c>
      <c r="BF426" s="60" t="str">
        <f t="shared" si="402"/>
        <v>0.00657331016599467-0.0111330782674999i</v>
      </c>
      <c r="BG426" s="66">
        <f t="shared" si="403"/>
        <v>-37.768836465253806</v>
      </c>
      <c r="BH426" s="63">
        <f t="shared" si="404"/>
        <v>-59.441097287526304</v>
      </c>
      <c r="BI426" s="60" t="e">
        <f t="shared" si="357"/>
        <v>#NUM!</v>
      </c>
      <c r="BJ426" s="66" t="e">
        <f t="shared" si="405"/>
        <v>#NUM!</v>
      </c>
      <c r="BK426" s="63" t="e">
        <f t="shared" si="358"/>
        <v>#NUM!</v>
      </c>
      <c r="BL426" s="51">
        <f t="shared" si="406"/>
        <v>-37.768836465253806</v>
      </c>
      <c r="BM426" s="63">
        <f t="shared" si="407"/>
        <v>-59.441097287526304</v>
      </c>
    </row>
    <row r="427" spans="14:65" x14ac:dyDescent="0.3">
      <c r="N427" s="11">
        <v>9</v>
      </c>
      <c r="O427" s="52">
        <f t="shared" si="408"/>
        <v>123026.87708123829</v>
      </c>
      <c r="P427" s="50" t="str">
        <f t="shared" si="360"/>
        <v>23.3035714285714</v>
      </c>
      <c r="Q427" s="18" t="str">
        <f t="shared" si="361"/>
        <v>1+414.107499891977i</v>
      </c>
      <c r="R427" s="18">
        <f t="shared" si="372"/>
        <v>414.10870730616591</v>
      </c>
      <c r="S427" s="18">
        <f t="shared" si="373"/>
        <v>1.5683814995906966</v>
      </c>
      <c r="T427" s="18" t="str">
        <f t="shared" si="362"/>
        <v>1+0.773000666465025i</v>
      </c>
      <c r="U427" s="18">
        <f t="shared" si="374"/>
        <v>1.2639343457456058</v>
      </c>
      <c r="V427" s="18">
        <f t="shared" si="375"/>
        <v>0.65805976309554814</v>
      </c>
      <c r="W427" s="32" t="str">
        <f t="shared" si="363"/>
        <v>1-1.88955718469228i</v>
      </c>
      <c r="X427" s="18">
        <f t="shared" si="376"/>
        <v>2.1378555503640126</v>
      </c>
      <c r="Y427" s="18">
        <f t="shared" si="377"/>
        <v>-1.0840433571579247</v>
      </c>
      <c r="Z427" s="32" t="str">
        <f t="shared" si="364"/>
        <v>0.939457550062551+0.927388224574752i</v>
      </c>
      <c r="AA427" s="18">
        <f t="shared" si="378"/>
        <v>1.320086893901095</v>
      </c>
      <c r="AB427" s="18">
        <f t="shared" si="379"/>
        <v>0.77893316371693422</v>
      </c>
      <c r="AC427" s="68" t="str">
        <f t="shared" si="380"/>
        <v>-0.107464117270358-0.0414706463523793i</v>
      </c>
      <c r="AD427" s="66">
        <f t="shared" si="381"/>
        <v>-18.771830478920887</v>
      </c>
      <c r="AE427" s="63">
        <f t="shared" si="382"/>
        <v>-158.89828547828722</v>
      </c>
      <c r="AF427" s="51" t="e">
        <f t="shared" si="383"/>
        <v>#NUM!</v>
      </c>
      <c r="AG427" s="51" t="str">
        <f t="shared" si="365"/>
        <v>1-579.75049984877i</v>
      </c>
      <c r="AH427" s="51">
        <f t="shared" si="384"/>
        <v>579.75136228809208</v>
      </c>
      <c r="AI427" s="51">
        <f t="shared" si="385"/>
        <v>-1.5690714485782746</v>
      </c>
      <c r="AJ427" s="51" t="str">
        <f t="shared" si="366"/>
        <v>1+0.773000666465025i</v>
      </c>
      <c r="AK427" s="51">
        <f t="shared" si="386"/>
        <v>1.2639343457456058</v>
      </c>
      <c r="AL427" s="51">
        <f t="shared" si="387"/>
        <v>0.65805976309554814</v>
      </c>
      <c r="AM427" s="51" t="e">
        <f t="shared" si="367"/>
        <v>#NUM!</v>
      </c>
      <c r="AN427" s="51" t="e">
        <f t="shared" si="388"/>
        <v>#NUM!</v>
      </c>
      <c r="AO427" s="51" t="e">
        <f t="shared" si="389"/>
        <v>#NUM!</v>
      </c>
      <c r="AP427" s="60" t="e">
        <f t="shared" si="390"/>
        <v>#NUM!</v>
      </c>
      <c r="AQ427" s="51" t="e">
        <f t="shared" si="391"/>
        <v>#NUM!</v>
      </c>
      <c r="AR427" s="63" t="e">
        <f t="shared" si="392"/>
        <v>#NUM!</v>
      </c>
      <c r="AS427" s="32" t="str">
        <f t="shared" si="368"/>
        <v>-0.000170731707317073</v>
      </c>
      <c r="AT427" s="32" t="str">
        <f t="shared" si="369"/>
        <v>0.029374025325671i</v>
      </c>
      <c r="AU427" s="32">
        <f t="shared" si="393"/>
        <v>2.9374025325670999E-2</v>
      </c>
      <c r="AV427" s="32">
        <f t="shared" si="394"/>
        <v>1.5707963267948966</v>
      </c>
      <c r="AW427" s="32" t="str">
        <f t="shared" si="370"/>
        <v>1+6.25398223415808i</v>
      </c>
      <c r="AX427" s="32">
        <f t="shared" si="395"/>
        <v>6.3334267016493442</v>
      </c>
      <c r="AY427" s="32">
        <f t="shared" si="396"/>
        <v>1.4122404034341944</v>
      </c>
      <c r="AZ427" s="32" t="str">
        <f t="shared" si="371"/>
        <v>1+118.825662449004i</v>
      </c>
      <c r="BA427" s="32">
        <f t="shared" si="397"/>
        <v>118.82987021975848</v>
      </c>
      <c r="BB427" s="32">
        <f t="shared" si="398"/>
        <v>1.5623808349521022</v>
      </c>
      <c r="BC427" s="60" t="str">
        <f t="shared" si="399"/>
        <v>-0.0163118180773609+0.107826156546101i</v>
      </c>
      <c r="BD427" s="51">
        <f t="shared" si="400"/>
        <v>-19.247248151713514</v>
      </c>
      <c r="BE427" s="63">
        <f t="shared" si="401"/>
        <v>98.602413060249049</v>
      </c>
      <c r="BF427" s="60" t="str">
        <f t="shared" si="402"/>
        <v>0.0062245555364179-0.0109109810930316i</v>
      </c>
      <c r="BG427" s="66">
        <f t="shared" si="403"/>
        <v>-38.019078630634397</v>
      </c>
      <c r="BH427" s="63">
        <f t="shared" si="404"/>
        <v>-60.295872418038179</v>
      </c>
      <c r="BI427" s="60" t="e">
        <f t="shared" si="357"/>
        <v>#NUM!</v>
      </c>
      <c r="BJ427" s="66" t="e">
        <f t="shared" si="405"/>
        <v>#NUM!</v>
      </c>
      <c r="BK427" s="63" t="e">
        <f t="shared" si="358"/>
        <v>#NUM!</v>
      </c>
      <c r="BL427" s="51">
        <f t="shared" si="406"/>
        <v>-38.019078630634397</v>
      </c>
      <c r="BM427" s="63">
        <f t="shared" si="407"/>
        <v>-60.295872418038179</v>
      </c>
    </row>
    <row r="428" spans="14:65" x14ac:dyDescent="0.3">
      <c r="N428" s="11">
        <v>10</v>
      </c>
      <c r="O428" s="52">
        <f t="shared" si="408"/>
        <v>125892.54117941685</v>
      </c>
      <c r="P428" s="50" t="str">
        <f t="shared" si="360"/>
        <v>23.3035714285714</v>
      </c>
      <c r="Q428" s="18" t="str">
        <f t="shared" si="361"/>
        <v>1+423.753302690363i</v>
      </c>
      <c r="R428" s="18">
        <f t="shared" si="372"/>
        <v>423.75448262052686</v>
      </c>
      <c r="S428" s="18">
        <f t="shared" si="373"/>
        <v>1.568436467562323</v>
      </c>
      <c r="T428" s="18" t="str">
        <f t="shared" si="362"/>
        <v>1+0.791006165022013i</v>
      </c>
      <c r="U428" s="18">
        <f t="shared" si="374"/>
        <v>1.2750257852697851</v>
      </c>
      <c r="V428" s="18">
        <f t="shared" si="375"/>
        <v>0.66923278638420458</v>
      </c>
      <c r="W428" s="32" t="str">
        <f t="shared" si="363"/>
        <v>1-1.93357062560937i</v>
      </c>
      <c r="X428" s="18">
        <f t="shared" si="376"/>
        <v>2.1768544655579092</v>
      </c>
      <c r="Y428" s="18">
        <f t="shared" si="377"/>
        <v>-1.0935010247145349</v>
      </c>
      <c r="Z428" s="32" t="str">
        <f t="shared" si="364"/>
        <v>0.936604272301555+0.948989871331034i</v>
      </c>
      <c r="AA428" s="18">
        <f t="shared" si="378"/>
        <v>1.333345168657545</v>
      </c>
      <c r="AB428" s="18">
        <f t="shared" si="379"/>
        <v>0.79196660812211939</v>
      </c>
      <c r="AC428" s="68" t="str">
        <f t="shared" si="380"/>
        <v>-0.107261247466053-0.0399968682360743i</v>
      </c>
      <c r="AD428" s="66">
        <f t="shared" si="381"/>
        <v>-18.825720989188298</v>
      </c>
      <c r="AE428" s="63">
        <f t="shared" si="382"/>
        <v>-159.54991362419563</v>
      </c>
      <c r="AF428" s="51" t="e">
        <f t="shared" si="383"/>
        <v>#NUM!</v>
      </c>
      <c r="AG428" s="51" t="str">
        <f t="shared" si="365"/>
        <v>1-593.254623766511i</v>
      </c>
      <c r="AH428" s="51">
        <f t="shared" si="384"/>
        <v>593.25546657434575</v>
      </c>
      <c r="AI428" s="51">
        <f t="shared" si="385"/>
        <v>-1.5691107115247596</v>
      </c>
      <c r="AJ428" s="51" t="str">
        <f t="shared" si="366"/>
        <v>1+0.791006165022013i</v>
      </c>
      <c r="AK428" s="51">
        <f t="shared" si="386"/>
        <v>1.2750257852697851</v>
      </c>
      <c r="AL428" s="51">
        <f t="shared" si="387"/>
        <v>0.66923278638420458</v>
      </c>
      <c r="AM428" s="51" t="e">
        <f t="shared" si="367"/>
        <v>#NUM!</v>
      </c>
      <c r="AN428" s="51" t="e">
        <f t="shared" si="388"/>
        <v>#NUM!</v>
      </c>
      <c r="AO428" s="51" t="e">
        <f t="shared" si="389"/>
        <v>#NUM!</v>
      </c>
      <c r="AP428" s="60" t="e">
        <f t="shared" si="390"/>
        <v>#NUM!</v>
      </c>
      <c r="AQ428" s="51" t="e">
        <f t="shared" si="391"/>
        <v>#NUM!</v>
      </c>
      <c r="AR428" s="63" t="e">
        <f t="shared" si="392"/>
        <v>#NUM!</v>
      </c>
      <c r="AS428" s="32" t="str">
        <f t="shared" si="368"/>
        <v>-0.000170731707317073</v>
      </c>
      <c r="AT428" s="32" t="str">
        <f t="shared" si="369"/>
        <v>0.0300582342708365i</v>
      </c>
      <c r="AU428" s="32">
        <f t="shared" si="393"/>
        <v>3.0058234270836499E-2</v>
      </c>
      <c r="AV428" s="32">
        <f t="shared" si="394"/>
        <v>1.5707963267948966</v>
      </c>
      <c r="AW428" s="32" t="str">
        <f t="shared" si="370"/>
        <v>1+6.3996561940623i</v>
      </c>
      <c r="AX428" s="32">
        <f t="shared" si="395"/>
        <v>6.477314212094389</v>
      </c>
      <c r="AY428" s="32">
        <f t="shared" si="396"/>
        <v>1.4157913907821182</v>
      </c>
      <c r="AZ428" s="32" t="str">
        <f t="shared" si="371"/>
        <v>1+121.593467687184i</v>
      </c>
      <c r="BA428" s="32">
        <f t="shared" si="397"/>
        <v>121.59757968065918</v>
      </c>
      <c r="BB428" s="32">
        <f t="shared" si="398"/>
        <v>1.5625723861957908</v>
      </c>
      <c r="BC428" s="60" t="str">
        <f t="shared" si="399"/>
        <v>-0.0155951636542454+0.105483716838775i</v>
      </c>
      <c r="BD428" s="51">
        <f t="shared" si="400"/>
        <v>-19.442386320599184</v>
      </c>
      <c r="BE428" s="63">
        <f t="shared" si="401"/>
        <v>98.409931549932566</v>
      </c>
      <c r="BF428" s="60" t="str">
        <f t="shared" si="402"/>
        <v>0.00589177503144347-0.010690557349684i</v>
      </c>
      <c r="BG428" s="66">
        <f t="shared" si="403"/>
        <v>-38.26810730978751</v>
      </c>
      <c r="BH428" s="63">
        <f t="shared" si="404"/>
        <v>-61.139982074262953</v>
      </c>
      <c r="BI428" s="60" t="e">
        <f t="shared" si="357"/>
        <v>#NUM!</v>
      </c>
      <c r="BJ428" s="66" t="e">
        <f t="shared" si="405"/>
        <v>#NUM!</v>
      </c>
      <c r="BK428" s="63" t="e">
        <f t="shared" si="358"/>
        <v>#NUM!</v>
      </c>
      <c r="BL428" s="51">
        <f t="shared" si="406"/>
        <v>-38.26810730978751</v>
      </c>
      <c r="BM428" s="63">
        <f t="shared" si="407"/>
        <v>-61.139982074262953</v>
      </c>
    </row>
    <row r="429" spans="14:65" x14ac:dyDescent="0.3">
      <c r="N429" s="11">
        <v>11</v>
      </c>
      <c r="O429" s="52">
        <f t="shared" si="408"/>
        <v>128824.95516931375</v>
      </c>
      <c r="P429" s="50" t="str">
        <f t="shared" si="360"/>
        <v>23.3035714285714</v>
      </c>
      <c r="Q429" s="18" t="str">
        <f t="shared" si="361"/>
        <v>1+433.623785098875i</v>
      </c>
      <c r="R429" s="18">
        <f t="shared" si="372"/>
        <v>433.62493817062148</v>
      </c>
      <c r="S429" s="18">
        <f t="shared" si="373"/>
        <v>1.5684901843239365</v>
      </c>
      <c r="T429" s="18" t="str">
        <f t="shared" si="362"/>
        <v>1+0.809431065517901i</v>
      </c>
      <c r="U429" s="18">
        <f t="shared" si="374"/>
        <v>1.2865374653796307</v>
      </c>
      <c r="V429" s="18">
        <f t="shared" si="375"/>
        <v>0.68046519458269783</v>
      </c>
      <c r="W429" s="32" t="str">
        <f t="shared" si="363"/>
        <v>1-1.97860927126598i</v>
      </c>
      <c r="X429" s="18">
        <f t="shared" si="376"/>
        <v>2.2169561674376181</v>
      </c>
      <c r="Y429" s="18">
        <f t="shared" si="377"/>
        <v>-1.1028336778602499</v>
      </c>
      <c r="Z429" s="32" t="str">
        <f t="shared" si="364"/>
        <v>0.933616523702497+0.971094685078464i</v>
      </c>
      <c r="AA429" s="18">
        <f t="shared" si="378"/>
        <v>1.3470949115478006</v>
      </c>
      <c r="AB429" s="18">
        <f t="shared" si="379"/>
        <v>0.80507218303779482</v>
      </c>
      <c r="AC429" s="68" t="str">
        <f t="shared" si="380"/>
        <v>-0.107055905808055-0.0385529720905439i</v>
      </c>
      <c r="AD429" s="66">
        <f t="shared" si="381"/>
        <v>-18.878208350162911</v>
      </c>
      <c r="AE429" s="63">
        <f t="shared" si="382"/>
        <v>-160.19503755205307</v>
      </c>
      <c r="AF429" s="51" t="e">
        <f t="shared" si="383"/>
        <v>#NUM!</v>
      </c>
      <c r="AG429" s="51" t="str">
        <f t="shared" si="365"/>
        <v>1-607.073299138427i</v>
      </c>
      <c r="AH429" s="51">
        <f t="shared" si="384"/>
        <v>607.0741227616395</v>
      </c>
      <c r="AI429" s="51">
        <f t="shared" si="385"/>
        <v>-1.569149080742491</v>
      </c>
      <c r="AJ429" s="51" t="str">
        <f t="shared" si="366"/>
        <v>1+0.809431065517901i</v>
      </c>
      <c r="AK429" s="51">
        <f t="shared" si="386"/>
        <v>1.2865374653796307</v>
      </c>
      <c r="AL429" s="51">
        <f t="shared" si="387"/>
        <v>0.68046519458269783</v>
      </c>
      <c r="AM429" s="51" t="e">
        <f t="shared" si="367"/>
        <v>#NUM!</v>
      </c>
      <c r="AN429" s="51" t="e">
        <f t="shared" si="388"/>
        <v>#NUM!</v>
      </c>
      <c r="AO429" s="51" t="e">
        <f t="shared" si="389"/>
        <v>#NUM!</v>
      </c>
      <c r="AP429" s="60" t="e">
        <f t="shared" si="390"/>
        <v>#NUM!</v>
      </c>
      <c r="AQ429" s="51" t="e">
        <f t="shared" si="391"/>
        <v>#NUM!</v>
      </c>
      <c r="AR429" s="63" t="e">
        <f t="shared" si="392"/>
        <v>#NUM!</v>
      </c>
      <c r="AS429" s="32" t="str">
        <f t="shared" si="368"/>
        <v>-0.000170731707317073</v>
      </c>
      <c r="AT429" s="32" t="str">
        <f t="shared" si="369"/>
        <v>0.0307583804896802i</v>
      </c>
      <c r="AU429" s="32">
        <f t="shared" si="393"/>
        <v>3.0758380489680201E-2</v>
      </c>
      <c r="AV429" s="32">
        <f t="shared" si="394"/>
        <v>1.5707963267948966</v>
      </c>
      <c r="AW429" s="32" t="str">
        <f t="shared" si="370"/>
        <v>1+6.54872333639008i</v>
      </c>
      <c r="AX429" s="32">
        <f t="shared" si="395"/>
        <v>6.6246341285070249</v>
      </c>
      <c r="AY429" s="32">
        <f t="shared" si="396"/>
        <v>1.4192653597671585</v>
      </c>
      <c r="AZ429" s="32" t="str">
        <f t="shared" si="371"/>
        <v>1+124.425743391412i</v>
      </c>
      <c r="BA429" s="32">
        <f t="shared" si="397"/>
        <v>124.42976178754627</v>
      </c>
      <c r="BB429" s="32">
        <f t="shared" si="398"/>
        <v>1.5627595777840155</v>
      </c>
      <c r="BC429" s="60" t="str">
        <f t="shared" si="399"/>
        <v>-0.014909259413844+0.103187352918909i</v>
      </c>
      <c r="BD429" s="51">
        <f t="shared" si="400"/>
        <v>-19.637738192645781</v>
      </c>
      <c r="BE429" s="63">
        <f t="shared" si="401"/>
        <v>98.221613076896062</v>
      </c>
      <c r="BF429" s="60" t="str">
        <f t="shared" si="402"/>
        <v>0.00557430340865614-0.0104720192725966i</v>
      </c>
      <c r="BG429" s="66">
        <f t="shared" si="403"/>
        <v>-38.51594654280872</v>
      </c>
      <c r="BH429" s="63">
        <f t="shared" si="404"/>
        <v>-61.973424475156946</v>
      </c>
      <c r="BI429" s="60" t="e">
        <f t="shared" si="357"/>
        <v>#NUM!</v>
      </c>
      <c r="BJ429" s="66" t="e">
        <f t="shared" si="405"/>
        <v>#NUM!</v>
      </c>
      <c r="BK429" s="63" t="e">
        <f t="shared" si="358"/>
        <v>#NUM!</v>
      </c>
      <c r="BL429" s="51">
        <f t="shared" si="406"/>
        <v>-38.51594654280872</v>
      </c>
      <c r="BM429" s="63">
        <f t="shared" si="407"/>
        <v>-61.973424475156946</v>
      </c>
    </row>
    <row r="430" spans="14:65" x14ac:dyDescent="0.3">
      <c r="N430" s="11">
        <v>12</v>
      </c>
      <c r="O430" s="52">
        <f t="shared" si="408"/>
        <v>131825.67385564081</v>
      </c>
      <c r="P430" s="50" t="str">
        <f t="shared" si="360"/>
        <v>23.3035714285714</v>
      </c>
      <c r="Q430" s="18" t="str">
        <f t="shared" si="361"/>
        <v>1+443.724180577933i</v>
      </c>
      <c r="R430" s="18">
        <f t="shared" si="372"/>
        <v>443.72530740262954</v>
      </c>
      <c r="S430" s="18">
        <f t="shared" si="373"/>
        <v>1.5685426783556344</v>
      </c>
      <c r="T430" s="18" t="str">
        <f t="shared" si="362"/>
        <v>1+0.82828513707881i</v>
      </c>
      <c r="U430" s="18">
        <f t="shared" si="374"/>
        <v>1.2984822941825827</v>
      </c>
      <c r="V430" s="18">
        <f t="shared" si="375"/>
        <v>0.69175160662923607</v>
      </c>
      <c r="W430" s="32" t="str">
        <f t="shared" si="363"/>
        <v>1-2.0246970017482i</v>
      </c>
      <c r="X430" s="18">
        <f t="shared" si="376"/>
        <v>2.2581846578365004</v>
      </c>
      <c r="Y430" s="18">
        <f t="shared" si="377"/>
        <v>-1.1120397611142165</v>
      </c>
      <c r="Z430" s="32" t="str">
        <f t="shared" si="364"/>
        <v>0.930487966850025+0.993714386081875i</v>
      </c>
      <c r="AA430" s="18">
        <f t="shared" si="378"/>
        <v>1.361350850280254</v>
      </c>
      <c r="AB430" s="18">
        <f t="shared" si="379"/>
        <v>0.81824485390531576</v>
      </c>
      <c r="AC430" s="68" t="str">
        <f t="shared" si="380"/>
        <v>-0.106848245266193-0.0371382740623326i</v>
      </c>
      <c r="AD430" s="66">
        <f t="shared" si="381"/>
        <v>-18.92932593377957</v>
      </c>
      <c r="AE430" s="63">
        <f t="shared" si="382"/>
        <v>-160.83358962432888</v>
      </c>
      <c r="AF430" s="51" t="e">
        <f t="shared" si="383"/>
        <v>#NUM!</v>
      </c>
      <c r="AG430" s="51" t="str">
        <f t="shared" si="365"/>
        <v>1-621.213852809109i</v>
      </c>
      <c r="AH430" s="51">
        <f t="shared" si="384"/>
        <v>621.21465768439282</v>
      </c>
      <c r="AI430" s="51">
        <f t="shared" si="385"/>
        <v>-1.5691865765748836</v>
      </c>
      <c r="AJ430" s="51" t="str">
        <f t="shared" si="366"/>
        <v>1+0.82828513707881i</v>
      </c>
      <c r="AK430" s="51">
        <f t="shared" si="386"/>
        <v>1.2984822941825827</v>
      </c>
      <c r="AL430" s="51">
        <f t="shared" si="387"/>
        <v>0.69175160662923607</v>
      </c>
      <c r="AM430" s="51" t="e">
        <f t="shared" si="367"/>
        <v>#NUM!</v>
      </c>
      <c r="AN430" s="51" t="e">
        <f t="shared" si="388"/>
        <v>#NUM!</v>
      </c>
      <c r="AO430" s="51" t="e">
        <f t="shared" si="389"/>
        <v>#NUM!</v>
      </c>
      <c r="AP430" s="60" t="e">
        <f t="shared" si="390"/>
        <v>#NUM!</v>
      </c>
      <c r="AQ430" s="51" t="e">
        <f t="shared" si="391"/>
        <v>#NUM!</v>
      </c>
      <c r="AR430" s="63" t="e">
        <f t="shared" si="392"/>
        <v>#NUM!</v>
      </c>
      <c r="AS430" s="32" t="str">
        <f t="shared" si="368"/>
        <v>-0.000170731707317073</v>
      </c>
      <c r="AT430" s="32" t="str">
        <f t="shared" si="369"/>
        <v>0.0314748352089948i</v>
      </c>
      <c r="AU430" s="32">
        <f t="shared" si="393"/>
        <v>3.14748352089948E-2</v>
      </c>
      <c r="AV430" s="32">
        <f t="shared" si="394"/>
        <v>1.5707963267948966</v>
      </c>
      <c r="AW430" s="32" t="str">
        <f t="shared" si="370"/>
        <v>1+6.7012626985134i</v>
      </c>
      <c r="AX430" s="32">
        <f t="shared" si="395"/>
        <v>6.7754646891919599</v>
      </c>
      <c r="AY430" s="32">
        <f t="shared" si="396"/>
        <v>1.4226638167575609</v>
      </c>
      <c r="AZ430" s="32" t="str">
        <f t="shared" si="371"/>
        <v>1+127.323991271755i</v>
      </c>
      <c r="BA430" s="32">
        <f t="shared" si="397"/>
        <v>127.32791820087984</v>
      </c>
      <c r="BB430" s="32">
        <f t="shared" si="398"/>
        <v>1.5629425089157296</v>
      </c>
      <c r="BC430" s="60" t="str">
        <f t="shared" si="399"/>
        <v>-0.0142528493282238+0.100936475198331i</v>
      </c>
      <c r="BD430" s="51">
        <f t="shared" si="400"/>
        <v>-19.833294589684197</v>
      </c>
      <c r="BE430" s="63">
        <f t="shared" si="401"/>
        <v>98.037377016277986</v>
      </c>
      <c r="BF430" s="60" t="str">
        <f t="shared" si="402"/>
        <v>0.00527149841956561-0.0102555590337756i</v>
      </c>
      <c r="BG430" s="66">
        <f t="shared" si="403"/>
        <v>-38.762620523463745</v>
      </c>
      <c r="BH430" s="63">
        <f t="shared" si="404"/>
        <v>-62.796212608050936</v>
      </c>
      <c r="BI430" s="60" t="e">
        <f t="shared" si="357"/>
        <v>#NUM!</v>
      </c>
      <c r="BJ430" s="66" t="e">
        <f t="shared" si="405"/>
        <v>#NUM!</v>
      </c>
      <c r="BK430" s="63" t="e">
        <f t="shared" si="358"/>
        <v>#NUM!</v>
      </c>
      <c r="BL430" s="51">
        <f t="shared" si="406"/>
        <v>-38.762620523463745</v>
      </c>
      <c r="BM430" s="63">
        <f t="shared" si="407"/>
        <v>-62.796212608050936</v>
      </c>
    </row>
    <row r="431" spans="14:65" x14ac:dyDescent="0.3">
      <c r="N431" s="11">
        <v>13</v>
      </c>
      <c r="O431" s="52">
        <f t="shared" si="408"/>
        <v>134896.28825916545</v>
      </c>
      <c r="P431" s="50" t="str">
        <f t="shared" si="360"/>
        <v>23.3035714285714</v>
      </c>
      <c r="Q431" s="18" t="str">
        <f t="shared" si="361"/>
        <v>1+454.059844490919i</v>
      </c>
      <c r="R431" s="18">
        <f t="shared" si="372"/>
        <v>454.06094566601689</v>
      </c>
      <c r="S431" s="18">
        <f t="shared" si="373"/>
        <v>1.5685939774892894</v>
      </c>
      <c r="T431" s="18" t="str">
        <f t="shared" si="362"/>
        <v>1+0.84757837638305i</v>
      </c>
      <c r="U431" s="18">
        <f t="shared" si="374"/>
        <v>1.3108734126955688</v>
      </c>
      <c r="V431" s="18">
        <f t="shared" si="375"/>
        <v>0.70308650586322563</v>
      </c>
      <c r="W431" s="32" t="str">
        <f t="shared" si="363"/>
        <v>1-2.07185825338079i</v>
      </c>
      <c r="X431" s="18">
        <f t="shared" si="376"/>
        <v>2.3005644138128578</v>
      </c>
      <c r="Y431" s="18">
        <f t="shared" si="377"/>
        <v>-1.1211179128544604</v>
      </c>
      <c r="Z431" s="32" t="str">
        <f t="shared" si="364"/>
        <v>0.9272119656556+1.01686096760615i</v>
      </c>
      <c r="AA431" s="18">
        <f t="shared" si="378"/>
        <v>1.3761279942998896</v>
      </c>
      <c r="AB431" s="18">
        <f t="shared" si="379"/>
        <v>0.83147952953900262</v>
      </c>
      <c r="AC431" s="68" t="str">
        <f t="shared" si="380"/>
        <v>-0.106638419918465-0.0357520935309551i</v>
      </c>
      <c r="AD431" s="66">
        <f t="shared" si="381"/>
        <v>-18.979106831484497</v>
      </c>
      <c r="AE431" s="63">
        <f t="shared" si="382"/>
        <v>-161.46551779839666</v>
      </c>
      <c r="AF431" s="51" t="e">
        <f t="shared" si="383"/>
        <v>#NUM!</v>
      </c>
      <c r="AG431" s="51" t="str">
        <f t="shared" si="365"/>
        <v>1-635.683782287289i</v>
      </c>
      <c r="AH431" s="51">
        <f t="shared" si="384"/>
        <v>635.68456884139755</v>
      </c>
      <c r="AI431" s="51">
        <f t="shared" si="385"/>
        <v>-1.5692232189023023</v>
      </c>
      <c r="AJ431" s="51" t="str">
        <f t="shared" si="366"/>
        <v>1+0.84757837638305i</v>
      </c>
      <c r="AK431" s="51">
        <f t="shared" si="386"/>
        <v>1.3108734126955688</v>
      </c>
      <c r="AL431" s="51">
        <f t="shared" si="387"/>
        <v>0.70308650586322563</v>
      </c>
      <c r="AM431" s="51" t="e">
        <f t="shared" si="367"/>
        <v>#NUM!</v>
      </c>
      <c r="AN431" s="51" t="e">
        <f t="shared" si="388"/>
        <v>#NUM!</v>
      </c>
      <c r="AO431" s="51" t="e">
        <f t="shared" si="389"/>
        <v>#NUM!</v>
      </c>
      <c r="AP431" s="60" t="e">
        <f t="shared" si="390"/>
        <v>#NUM!</v>
      </c>
      <c r="AQ431" s="51" t="e">
        <f t="shared" si="391"/>
        <v>#NUM!</v>
      </c>
      <c r="AR431" s="63" t="e">
        <f t="shared" si="392"/>
        <v>#NUM!</v>
      </c>
      <c r="AS431" s="32" t="str">
        <f t="shared" si="368"/>
        <v>-0.000170731707317073</v>
      </c>
      <c r="AT431" s="32" t="str">
        <f t="shared" si="369"/>
        <v>0.0322079783025559i</v>
      </c>
      <c r="AU431" s="32">
        <f t="shared" si="393"/>
        <v>3.2207978302555902E-2</v>
      </c>
      <c r="AV431" s="32">
        <f t="shared" si="394"/>
        <v>1.5707963267948966</v>
      </c>
      <c r="AW431" s="32" t="str">
        <f t="shared" si="370"/>
        <v>1+6.85735515882117i</v>
      </c>
      <c r="AX431" s="32">
        <f t="shared" si="395"/>
        <v>6.9298859856574344</v>
      </c>
      <c r="AY431" s="32">
        <f t="shared" si="396"/>
        <v>1.4259882494938567</v>
      </c>
      <c r="AZ431" s="32" t="str">
        <f t="shared" si="371"/>
        <v>1+130.289748017603i</v>
      </c>
      <c r="BA431" s="32">
        <f t="shared" si="397"/>
        <v>130.29358556157123</v>
      </c>
      <c r="BB431" s="32">
        <f t="shared" si="398"/>
        <v>1.5631212765344396</v>
      </c>
      <c r="BC431" s="60" t="str">
        <f t="shared" si="399"/>
        <v>-0.0136247231962633+0.098730479407508i</v>
      </c>
      <c r="BD431" s="51">
        <f t="shared" si="400"/>
        <v>-20.029046709177717</v>
      </c>
      <c r="BE431" s="63">
        <f t="shared" si="401"/>
        <v>97.857143681278785</v>
      </c>
      <c r="BF431" s="60" t="str">
        <f t="shared" si="402"/>
        <v>0.00498274028760924-0.010041349943763i</v>
      </c>
      <c r="BG431" s="66">
        <f t="shared" si="403"/>
        <v>-39.008153540662228</v>
      </c>
      <c r="BH431" s="63">
        <f t="shared" si="404"/>
        <v>-63.608374117117812</v>
      </c>
      <c r="BI431" s="60" t="e">
        <f t="shared" si="357"/>
        <v>#NUM!</v>
      </c>
      <c r="BJ431" s="66" t="e">
        <f t="shared" si="405"/>
        <v>#NUM!</v>
      </c>
      <c r="BK431" s="63" t="e">
        <f t="shared" si="358"/>
        <v>#NUM!</v>
      </c>
      <c r="BL431" s="51">
        <f t="shared" si="406"/>
        <v>-39.008153540662228</v>
      </c>
      <c r="BM431" s="63">
        <f t="shared" si="407"/>
        <v>-63.608374117117812</v>
      </c>
    </row>
    <row r="432" spans="14:65" x14ac:dyDescent="0.3">
      <c r="N432" s="11">
        <v>14</v>
      </c>
      <c r="O432" s="52">
        <f t="shared" si="408"/>
        <v>138038.42646028858</v>
      </c>
      <c r="P432" s="50" t="str">
        <f t="shared" si="360"/>
        <v>23.3035714285714</v>
      </c>
      <c r="Q432" s="18" t="str">
        <f t="shared" si="361"/>
        <v>1+464.636256943646i</v>
      </c>
      <c r="R432" s="18">
        <f t="shared" si="372"/>
        <v>464.63733305299712</v>
      </c>
      <c r="S432" s="18">
        <f t="shared" si="373"/>
        <v>1.5686441089233005</v>
      </c>
      <c r="T432" s="18" t="str">
        <f t="shared" si="362"/>
        <v>1+0.867321012961475i</v>
      </c>
      <c r="U432" s="18">
        <f t="shared" si="374"/>
        <v>1.3237241931476962</v>
      </c>
      <c r="V432" s="18">
        <f t="shared" si="375"/>
        <v>0.71446425253329238</v>
      </c>
      <c r="W432" s="32" t="str">
        <f t="shared" si="363"/>
        <v>1-2.12011803168361i</v>
      </c>
      <c r="X432" s="18">
        <f t="shared" si="376"/>
        <v>2.34412040396179</v>
      </c>
      <c r="Y432" s="18">
        <f t="shared" si="377"/>
        <v>-1.1300669602160445</v>
      </c>
      <c r="Z432" s="32" t="str">
        <f t="shared" si="364"/>
        <v>0.92378157128147+1.04054670227521i</v>
      </c>
      <c r="AA432" s="18">
        <f t="shared" si="378"/>
        <v>1.3914416376747809</v>
      </c>
      <c r="AB432" s="18">
        <f t="shared" si="379"/>
        <v>0.84477107764803305</v>
      </c>
      <c r="AC432" s="68" t="str">
        <f t="shared" si="380"/>
        <v>-0.106426584095665-0.0343937524722251i</v>
      </c>
      <c r="AD432" s="66">
        <f t="shared" si="381"/>
        <v>-19.02758381729792</v>
      </c>
      <c r="AE432" s="63">
        <f t="shared" si="382"/>
        <v>-162.09078550774646</v>
      </c>
      <c r="AF432" s="51" t="e">
        <f t="shared" si="383"/>
        <v>#NUM!</v>
      </c>
      <c r="AG432" s="51" t="str">
        <f t="shared" si="365"/>
        <v>1-650.490759721108i</v>
      </c>
      <c r="AH432" s="51">
        <f t="shared" si="384"/>
        <v>650.49152837108056</v>
      </c>
      <c r="AI432" s="51">
        <f t="shared" si="385"/>
        <v>-1.5692590271526001</v>
      </c>
      <c r="AJ432" s="51" t="str">
        <f t="shared" si="366"/>
        <v>1+0.867321012961475i</v>
      </c>
      <c r="AK432" s="51">
        <f t="shared" si="386"/>
        <v>1.3237241931476962</v>
      </c>
      <c r="AL432" s="51">
        <f t="shared" si="387"/>
        <v>0.71446425253329238</v>
      </c>
      <c r="AM432" s="51" t="e">
        <f t="shared" si="367"/>
        <v>#NUM!</v>
      </c>
      <c r="AN432" s="51" t="e">
        <f t="shared" si="388"/>
        <v>#NUM!</v>
      </c>
      <c r="AO432" s="51" t="e">
        <f t="shared" si="389"/>
        <v>#NUM!</v>
      </c>
      <c r="AP432" s="60" t="e">
        <f t="shared" si="390"/>
        <v>#NUM!</v>
      </c>
      <c r="AQ432" s="51" t="e">
        <f t="shared" si="391"/>
        <v>#NUM!</v>
      </c>
      <c r="AR432" s="63" t="e">
        <f t="shared" si="392"/>
        <v>#NUM!</v>
      </c>
      <c r="AS432" s="32" t="str">
        <f t="shared" si="368"/>
        <v>-0.000170731707317073</v>
      </c>
      <c r="AT432" s="32" t="str">
        <f t="shared" si="369"/>
        <v>0.0329581984925361i</v>
      </c>
      <c r="AU432" s="32">
        <f t="shared" si="393"/>
        <v>3.2958198492536103E-2</v>
      </c>
      <c r="AV432" s="32">
        <f t="shared" si="394"/>
        <v>1.5707963267948966</v>
      </c>
      <c r="AW432" s="32" t="str">
        <f t="shared" si="370"/>
        <v>1+7.01708347960199i</v>
      </c>
      <c r="AX432" s="32">
        <f t="shared" si="395"/>
        <v>7.0879800055941997</v>
      </c>
      <c r="AY432" s="32">
        <f t="shared" si="396"/>
        <v>1.4292401265525454</v>
      </c>
      <c r="AZ432" s="32" t="str">
        <f t="shared" si="371"/>
        <v>1+133.324586112438i</v>
      </c>
      <c r="BA432" s="32">
        <f t="shared" si="397"/>
        <v>133.32833630572645</v>
      </c>
      <c r="BB432" s="32">
        <f t="shared" si="398"/>
        <v>1.5632959753793727</v>
      </c>
      <c r="BC432" s="60" t="str">
        <f t="shared" si="399"/>
        <v>-0.013023715453945+0.0965687485420528i</v>
      </c>
      <c r="BD432" s="51">
        <f t="shared" si="400"/>
        <v>-20.224986110452321</v>
      </c>
      <c r="BE432" s="63">
        <f t="shared" si="401"/>
        <v>97.680834356821038</v>
      </c>
      <c r="BF432" s="60" t="str">
        <f t="shared" si="402"/>
        <v>0.0047074311819052-0.00982954759213223i</v>
      </c>
      <c r="BG432" s="66">
        <f t="shared" si="403"/>
        <v>-39.252569927750244</v>
      </c>
      <c r="BH432" s="63">
        <f t="shared" si="404"/>
        <v>-64.409951150925423</v>
      </c>
      <c r="BI432" s="60" t="e">
        <f t="shared" si="357"/>
        <v>#NUM!</v>
      </c>
      <c r="BJ432" s="66" t="e">
        <f t="shared" si="405"/>
        <v>#NUM!</v>
      </c>
      <c r="BK432" s="63" t="e">
        <f t="shared" si="358"/>
        <v>#NUM!</v>
      </c>
      <c r="BL432" s="51">
        <f t="shared" si="406"/>
        <v>-39.252569927750244</v>
      </c>
      <c r="BM432" s="63">
        <f t="shared" si="407"/>
        <v>-64.409951150925423</v>
      </c>
    </row>
    <row r="433" spans="14:65" x14ac:dyDescent="0.3">
      <c r="N433" s="11">
        <v>15</v>
      </c>
      <c r="O433" s="52">
        <f t="shared" si="408"/>
        <v>141253.75446227577</v>
      </c>
      <c r="P433" s="50" t="str">
        <f t="shared" si="360"/>
        <v>23.3035714285714</v>
      </c>
      <c r="Q433" s="18" t="str">
        <f t="shared" si="361"/>
        <v>1+475.459025689994i</v>
      </c>
      <c r="R433" s="18">
        <f t="shared" si="372"/>
        <v>475.46007730416062</v>
      </c>
      <c r="S433" s="18">
        <f t="shared" si="373"/>
        <v>1.5686930992370092</v>
      </c>
      <c r="T433" s="18" t="str">
        <f t="shared" si="362"/>
        <v>1+0.887523514621324i</v>
      </c>
      <c r="U433" s="18">
        <f t="shared" si="374"/>
        <v>1.3370482373518868</v>
      </c>
      <c r="V433" s="18">
        <f t="shared" si="375"/>
        <v>0.72587909705173514</v>
      </c>
      <c r="W433" s="32" t="str">
        <f t="shared" si="363"/>
        <v>1-2.1695019246299i</v>
      </c>
      <c r="X433" s="18">
        <f t="shared" si="376"/>
        <v>2.388878105088839</v>
      </c>
      <c r="Y433" s="18">
        <f t="shared" si="377"/>
        <v>-1.1388859135975835</v>
      </c>
      <c r="Z433" s="32" t="str">
        <f t="shared" si="364"/>
        <v>0.920189507401244+1.06478414857907i</v>
      </c>
      <c r="AA433" s="18">
        <f t="shared" si="378"/>
        <v>1.4073073625177261</v>
      </c>
      <c r="AB433" s="18">
        <f t="shared" si="379"/>
        <v>0.85811434073218928</v>
      </c>
      <c r="AC433" s="68" t="str">
        <f t="shared" si="380"/>
        <v>-0.106212891493857-0.0330625749011035i</v>
      </c>
      <c r="AD433" s="66">
        <f t="shared" si="381"/>
        <v>-19.07478931816653</v>
      </c>
      <c r="AE433" s="63">
        <f t="shared" si="382"/>
        <v>-162.70937149939391</v>
      </c>
      <c r="AF433" s="51" t="e">
        <f t="shared" si="383"/>
        <v>#NUM!</v>
      </c>
      <c r="AG433" s="51" t="str">
        <f t="shared" si="365"/>
        <v>1-665.642635965995i</v>
      </c>
      <c r="AH433" s="51">
        <f t="shared" si="384"/>
        <v>665.64338711937796</v>
      </c>
      <c r="AI433" s="51">
        <f t="shared" si="385"/>
        <v>-1.5692940203114178</v>
      </c>
      <c r="AJ433" s="51" t="str">
        <f t="shared" si="366"/>
        <v>1+0.887523514621324i</v>
      </c>
      <c r="AK433" s="51">
        <f t="shared" si="386"/>
        <v>1.3370482373518868</v>
      </c>
      <c r="AL433" s="51">
        <f t="shared" si="387"/>
        <v>0.72587909705173514</v>
      </c>
      <c r="AM433" s="51" t="e">
        <f t="shared" si="367"/>
        <v>#NUM!</v>
      </c>
      <c r="AN433" s="51" t="e">
        <f t="shared" si="388"/>
        <v>#NUM!</v>
      </c>
      <c r="AO433" s="51" t="e">
        <f t="shared" si="389"/>
        <v>#NUM!</v>
      </c>
      <c r="AP433" s="60" t="e">
        <f t="shared" si="390"/>
        <v>#NUM!</v>
      </c>
      <c r="AQ433" s="51" t="e">
        <f t="shared" si="391"/>
        <v>#NUM!</v>
      </c>
      <c r="AR433" s="63" t="e">
        <f t="shared" si="392"/>
        <v>#NUM!</v>
      </c>
      <c r="AS433" s="32" t="str">
        <f t="shared" si="368"/>
        <v>-0.000170731707317073</v>
      </c>
      <c r="AT433" s="32" t="str">
        <f t="shared" si="369"/>
        <v>0.0337258935556103i</v>
      </c>
      <c r="AU433" s="32">
        <f t="shared" si="393"/>
        <v>3.3725893555610301E-2</v>
      </c>
      <c r="AV433" s="32">
        <f t="shared" si="394"/>
        <v>1.5707963267948966</v>
      </c>
      <c r="AW433" s="32" t="str">
        <f t="shared" si="370"/>
        <v>1+7.18053235092578i</v>
      </c>
      <c r="AX433" s="32">
        <f t="shared" si="395"/>
        <v>7.2498306768290597</v>
      </c>
      <c r="AY433" s="32">
        <f t="shared" si="396"/>
        <v>1.4324208968772894</v>
      </c>
      <c r="AZ433" s="32" t="str">
        <f t="shared" si="371"/>
        <v>1+136.43011466759i</v>
      </c>
      <c r="BA433" s="32">
        <f t="shared" si="397"/>
        <v>136.43377949837699</v>
      </c>
      <c r="BB433" s="32">
        <f t="shared" si="398"/>
        <v>1.5634666980354908</v>
      </c>
      <c r="BC433" s="60" t="str">
        <f t="shared" si="399"/>
        <v>-0.0124487039698605+0.0944506546839695i</v>
      </c>
      <c r="BD433" s="51">
        <f t="shared" si="400"/>
        <v>-20.421104701290137</v>
      </c>
      <c r="BE433" s="63">
        <f t="shared" si="401"/>
        <v>97.508371329275505</v>
      </c>
      <c r="BF433" s="60" t="str">
        <f t="shared" si="402"/>
        <v>0.00444499468893694-0.00962029093004703i</v>
      </c>
      <c r="BG433" s="66">
        <f t="shared" si="403"/>
        <v>-39.495894019456671</v>
      </c>
      <c r="BH433" s="63">
        <f t="shared" si="404"/>
        <v>-65.201000170118419</v>
      </c>
      <c r="BI433" s="60" t="e">
        <f t="shared" si="357"/>
        <v>#NUM!</v>
      </c>
      <c r="BJ433" s="66" t="e">
        <f t="shared" si="405"/>
        <v>#NUM!</v>
      </c>
      <c r="BK433" s="63" t="e">
        <f t="shared" si="358"/>
        <v>#NUM!</v>
      </c>
      <c r="BL433" s="51">
        <f t="shared" si="406"/>
        <v>-39.495894019456671</v>
      </c>
      <c r="BM433" s="63">
        <f t="shared" si="407"/>
        <v>-65.201000170118419</v>
      </c>
    </row>
    <row r="434" spans="14:65" x14ac:dyDescent="0.3">
      <c r="N434" s="11">
        <v>16</v>
      </c>
      <c r="O434" s="52">
        <f t="shared" si="408"/>
        <v>144543.97707459307</v>
      </c>
      <c r="P434" s="50" t="str">
        <f t="shared" si="360"/>
        <v>23.3035714285714</v>
      </c>
      <c r="Q434" s="18" t="str">
        <f t="shared" si="361"/>
        <v>1+486.533889105206i</v>
      </c>
      <c r="R434" s="18">
        <f t="shared" si="372"/>
        <v>486.53491678176283</v>
      </c>
      <c r="S434" s="18">
        <f t="shared" si="373"/>
        <v>1.5687409744047869</v>
      </c>
      <c r="T434" s="18" t="str">
        <f t="shared" si="362"/>
        <v>1+0.908196592996386i</v>
      </c>
      <c r="U434" s="18">
        <f t="shared" si="374"/>
        <v>1.3508593751868634</v>
      </c>
      <c r="V434" s="18">
        <f t="shared" si="375"/>
        <v>0.73732519392473661</v>
      </c>
      <c r="W434" s="32" t="str">
        <f t="shared" si="363"/>
        <v>1-2.22003611621339i</v>
      </c>
      <c r="X434" s="18">
        <f t="shared" si="376"/>
        <v>2.4348635192330255</v>
      </c>
      <c r="Y434" s="18">
        <f t="shared" si="377"/>
        <v>-1.1475739608294431</v>
      </c>
      <c r="Z434" s="32" t="str">
        <f t="shared" si="364"/>
        <v>0.916428154765838+1.08958615753259i</v>
      </c>
      <c r="AA434" s="18">
        <f t="shared" si="378"/>
        <v>1.4237410430040123</v>
      </c>
      <c r="AB434" s="18">
        <f t="shared" si="379"/>
        <v>0.87150415225287514</v>
      </c>
      <c r="AC434" s="68" t="str">
        <f t="shared" si="380"/>
        <v>-0.105997494261688-0.0317578863969117i</v>
      </c>
      <c r="AD434" s="66">
        <f t="shared" si="381"/>
        <v>-19.120755391363353</v>
      </c>
      <c r="AE434" s="63">
        <f t="shared" si="382"/>
        <v>-163.32126962893705</v>
      </c>
      <c r="AF434" s="51" t="e">
        <f t="shared" si="383"/>
        <v>#NUM!</v>
      </c>
      <c r="AG434" s="51" t="str">
        <f t="shared" si="365"/>
        <v>1-681.147444747291i</v>
      </c>
      <c r="AH434" s="51">
        <f t="shared" si="384"/>
        <v>681.14817880235421</v>
      </c>
      <c r="AI434" s="51">
        <f t="shared" si="385"/>
        <v>-1.5693282169322484</v>
      </c>
      <c r="AJ434" s="51" t="str">
        <f t="shared" si="366"/>
        <v>1+0.908196592996386i</v>
      </c>
      <c r="AK434" s="51">
        <f t="shared" si="386"/>
        <v>1.3508593751868634</v>
      </c>
      <c r="AL434" s="51">
        <f t="shared" si="387"/>
        <v>0.73732519392473661</v>
      </c>
      <c r="AM434" s="51" t="e">
        <f t="shared" si="367"/>
        <v>#NUM!</v>
      </c>
      <c r="AN434" s="51" t="e">
        <f t="shared" si="388"/>
        <v>#NUM!</v>
      </c>
      <c r="AO434" s="51" t="e">
        <f t="shared" si="389"/>
        <v>#NUM!</v>
      </c>
      <c r="AP434" s="60" t="e">
        <f t="shared" si="390"/>
        <v>#NUM!</v>
      </c>
      <c r="AQ434" s="51" t="e">
        <f t="shared" si="391"/>
        <v>#NUM!</v>
      </c>
      <c r="AR434" s="63" t="e">
        <f t="shared" si="392"/>
        <v>#NUM!</v>
      </c>
      <c r="AS434" s="32" t="str">
        <f t="shared" si="368"/>
        <v>-0.000170731707317073</v>
      </c>
      <c r="AT434" s="32" t="str">
        <f t="shared" si="369"/>
        <v>0.0345114705338627i</v>
      </c>
      <c r="AU434" s="32">
        <f t="shared" si="393"/>
        <v>3.45114705338627E-2</v>
      </c>
      <c r="AV434" s="32">
        <f t="shared" si="394"/>
        <v>1.5707963267948966</v>
      </c>
      <c r="AW434" s="32" t="str">
        <f t="shared" si="370"/>
        <v>1+7.34778843554759i</v>
      </c>
      <c r="AX434" s="32">
        <f t="shared" si="395"/>
        <v>7.4155239122780063</v>
      </c>
      <c r="AY434" s="32">
        <f t="shared" si="396"/>
        <v>1.4355319893732907</v>
      </c>
      <c r="AZ434" s="32" t="str">
        <f t="shared" si="371"/>
        <v>1+139.607980275405i</v>
      </c>
      <c r="BA434" s="32">
        <f t="shared" si="397"/>
        <v>139.61156168662347</v>
      </c>
      <c r="BB434" s="32">
        <f t="shared" si="398"/>
        <v>1.5636335349823751</v>
      </c>
      <c r="BC434" s="60" t="str">
        <f t="shared" si="399"/>
        <v>-0.0118986088315824+0.0923755607032605i</v>
      </c>
      <c r="BD434" s="51">
        <f t="shared" si="400"/>
        <v>-20.617394724890971</v>
      </c>
      <c r="BE434" s="63">
        <f t="shared" si="401"/>
        <v>97.339677912503163</v>
      </c>
      <c r="BF434" s="60" t="str">
        <f t="shared" si="402"/>
        <v>0.00419487528401289-0.00941370329800938i</v>
      </c>
      <c r="BG434" s="66">
        <f t="shared" si="403"/>
        <v>-39.738150116254324</v>
      </c>
      <c r="BH434" s="63">
        <f t="shared" si="404"/>
        <v>-65.981591716433883</v>
      </c>
      <c r="BI434" s="60" t="e">
        <f t="shared" ref="BI434:BI497" si="409">IMPRODUCT(AP434,BC434)</f>
        <v>#NUM!</v>
      </c>
      <c r="BJ434" s="66" t="e">
        <f t="shared" si="405"/>
        <v>#NUM!</v>
      </c>
      <c r="BK434" s="63" t="e">
        <f t="shared" ref="BK434:BK497" si="410">(180/PI())*IMARGUMENT(BI434)</f>
        <v>#NUM!</v>
      </c>
      <c r="BL434" s="51">
        <f t="shared" si="406"/>
        <v>-39.738150116254324</v>
      </c>
      <c r="BM434" s="63">
        <f t="shared" si="407"/>
        <v>-65.981591716433883</v>
      </c>
    </row>
    <row r="435" spans="14:65" x14ac:dyDescent="0.3">
      <c r="N435" s="11">
        <v>17</v>
      </c>
      <c r="O435" s="52">
        <f t="shared" si="408"/>
        <v>147910.83881682079</v>
      </c>
      <c r="P435" s="50" t="str">
        <f t="shared" si="360"/>
        <v>23.3035714285714</v>
      </c>
      <c r="Q435" s="18" t="str">
        <f t="shared" si="361"/>
        <v>1+497.866719228458i</v>
      </c>
      <c r="R435" s="18">
        <f t="shared" si="372"/>
        <v>497.86772351228814</v>
      </c>
      <c r="S435" s="18">
        <f t="shared" si="373"/>
        <v>1.568787759809803</v>
      </c>
      <c r="T435" s="18" t="str">
        <f t="shared" si="362"/>
        <v>1+0.929351209226456i</v>
      </c>
      <c r="U435" s="18">
        <f t="shared" si="374"/>
        <v>1.3651716632316524</v>
      </c>
      <c r="V435" s="18">
        <f t="shared" si="375"/>
        <v>0.74879661628008987</v>
      </c>
      <c r="W435" s="32" t="str">
        <f t="shared" si="363"/>
        <v>1-2.27174740033134i</v>
      </c>
      <c r="X435" s="18">
        <f t="shared" si="376"/>
        <v>2.4821031910281652</v>
      </c>
      <c r="Y435" s="18">
        <f t="shared" si="377"/>
        <v>-1.1561304610553576</v>
      </c>
      <c r="Z435" s="32" t="str">
        <f t="shared" si="364"/>
        <v>0.912489535042018+1.11496587948921i</v>
      </c>
      <c r="AA435" s="18">
        <f t="shared" si="378"/>
        <v>1.4407588500461643</v>
      </c>
      <c r="AB435" s="18">
        <f t="shared" si="379"/>
        <v>0.88493535297726944</v>
      </c>
      <c r="AC435" s="68" t="str">
        <f t="shared" si="380"/>
        <v>-0.105780542069925-0.0304790137129673i</v>
      </c>
      <c r="AD435" s="66">
        <f t="shared" si="381"/>
        <v>-19.165513708617617</v>
      </c>
      <c r="AE435" s="63">
        <f t="shared" si="382"/>
        <v>-163.92648861486188</v>
      </c>
      <c r="AF435" s="51" t="e">
        <f t="shared" si="383"/>
        <v>#NUM!</v>
      </c>
      <c r="AG435" s="51" t="str">
        <f t="shared" si="365"/>
        <v>1-697.013406919844i</v>
      </c>
      <c r="AH435" s="51">
        <f t="shared" si="384"/>
        <v>697.01412426579134</v>
      </c>
      <c r="AI435" s="51">
        <f t="shared" si="385"/>
        <v>-1.5693616351462731</v>
      </c>
      <c r="AJ435" s="51" t="str">
        <f t="shared" si="366"/>
        <v>1+0.929351209226456i</v>
      </c>
      <c r="AK435" s="51">
        <f t="shared" si="386"/>
        <v>1.3651716632316524</v>
      </c>
      <c r="AL435" s="51">
        <f t="shared" si="387"/>
        <v>0.74879661628008987</v>
      </c>
      <c r="AM435" s="51" t="e">
        <f t="shared" si="367"/>
        <v>#NUM!</v>
      </c>
      <c r="AN435" s="51" t="e">
        <f t="shared" si="388"/>
        <v>#NUM!</v>
      </c>
      <c r="AO435" s="51" t="e">
        <f t="shared" si="389"/>
        <v>#NUM!</v>
      </c>
      <c r="AP435" s="60" t="e">
        <f t="shared" si="390"/>
        <v>#NUM!</v>
      </c>
      <c r="AQ435" s="51" t="e">
        <f t="shared" si="391"/>
        <v>#NUM!</v>
      </c>
      <c r="AR435" s="63" t="e">
        <f t="shared" si="392"/>
        <v>#NUM!</v>
      </c>
      <c r="AS435" s="32" t="str">
        <f t="shared" si="368"/>
        <v>-0.000170731707317073</v>
      </c>
      <c r="AT435" s="32" t="str">
        <f t="shared" si="369"/>
        <v>0.0353153459506053i</v>
      </c>
      <c r="AU435" s="32">
        <f t="shared" si="393"/>
        <v>3.5315345950605301E-2</v>
      </c>
      <c r="AV435" s="32">
        <f t="shared" si="394"/>
        <v>1.5707963267948966</v>
      </c>
      <c r="AW435" s="32" t="str">
        <f t="shared" si="370"/>
        <v>1+7.5189404148574i</v>
      </c>
      <c r="AX435" s="32">
        <f t="shared" si="395"/>
        <v>7.5851476559244357</v>
      </c>
      <c r="AY435" s="32">
        <f t="shared" si="396"/>
        <v>1.4385748125607061</v>
      </c>
      <c r="AZ435" s="32" t="str">
        <f t="shared" si="371"/>
        <v>1+142.859867882291i</v>
      </c>
      <c r="BA435" s="32">
        <f t="shared" si="397"/>
        <v>142.86336777265765</v>
      </c>
      <c r="BB435" s="32">
        <f t="shared" si="398"/>
        <v>1.5637965746420117</v>
      </c>
      <c r="BC435" s="60" t="str">
        <f t="shared" si="399"/>
        <v>-0.0113723911279859+0.0903428218454794i</v>
      </c>
      <c r="BD435" s="51">
        <f t="shared" si="400"/>
        <v>-20.813848747202716</v>
      </c>
      <c r="BE435" s="63">
        <f t="shared" si="401"/>
        <v>97.174678470450147</v>
      </c>
      <c r="BF435" s="60" t="str">
        <f t="shared" si="402"/>
        <v>0.00395653780404608-0.00920989340180236i</v>
      </c>
      <c r="BG435" s="66">
        <f t="shared" si="403"/>
        <v>-39.979362455820336</v>
      </c>
      <c r="BH435" s="63">
        <f t="shared" si="404"/>
        <v>-66.751810144411749</v>
      </c>
      <c r="BI435" s="60" t="e">
        <f t="shared" si="409"/>
        <v>#NUM!</v>
      </c>
      <c r="BJ435" s="66" t="e">
        <f t="shared" si="405"/>
        <v>#NUM!</v>
      </c>
      <c r="BK435" s="63" t="e">
        <f t="shared" si="410"/>
        <v>#NUM!</v>
      </c>
      <c r="BL435" s="51">
        <f t="shared" si="406"/>
        <v>-39.979362455820336</v>
      </c>
      <c r="BM435" s="63">
        <f t="shared" si="407"/>
        <v>-66.751810144411749</v>
      </c>
    </row>
    <row r="436" spans="14:65" x14ac:dyDescent="0.3">
      <c r="N436" s="11">
        <v>18</v>
      </c>
      <c r="O436" s="52">
        <f t="shared" si="408"/>
        <v>151356.12484362084</v>
      </c>
      <c r="P436" s="50" t="str">
        <f t="shared" si="360"/>
        <v>23.3035714285714</v>
      </c>
      <c r="Q436" s="18" t="str">
        <f t="shared" si="361"/>
        <v>1+509.463524876291i</v>
      </c>
      <c r="R436" s="18">
        <f t="shared" si="372"/>
        <v>509.46450629987487</v>
      </c>
      <c r="S436" s="18">
        <f t="shared" si="373"/>
        <v>1.5688334802574786</v>
      </c>
      <c r="T436" s="18" t="str">
        <f t="shared" si="362"/>
        <v>1+0.950998579769078i</v>
      </c>
      <c r="U436" s="18">
        <f t="shared" si="374"/>
        <v>1.379999383595081</v>
      </c>
      <c r="V436" s="18">
        <f t="shared" si="375"/>
        <v>0.76028737090733967</v>
      </c>
      <c r="W436" s="32" t="str">
        <f t="shared" si="363"/>
        <v>1-2.32466319499108i</v>
      </c>
      <c r="X436" s="18">
        <f t="shared" si="376"/>
        <v>2.530624225393042</v>
      </c>
      <c r="Y436" s="18">
        <f t="shared" si="377"/>
        <v>-1.1645549383773073</v>
      </c>
      <c r="Z436" s="32" t="str">
        <f t="shared" si="364"/>
        <v>0.908365293889289+1.14093677111346i</v>
      </c>
      <c r="AA436" s="18">
        <f t="shared" si="378"/>
        <v>1.4583772566868223</v>
      </c>
      <c r="AB436" s="18">
        <f t="shared" si="379"/>
        <v>0.89840280739146261</v>
      </c>
      <c r="AC436" s="68" t="str">
        <f t="shared" si="380"/>
        <v>-0.105562181170744-0.0292252844718175i</v>
      </c>
      <c r="AD436" s="66">
        <f t="shared" si="381"/>
        <v>-19.209095546602136</v>
      </c>
      <c r="AE436" s="63">
        <f t="shared" si="382"/>
        <v>-164.5250517538588</v>
      </c>
      <c r="AF436" s="51" t="e">
        <f t="shared" si="383"/>
        <v>#NUM!</v>
      </c>
      <c r="AG436" s="51" t="str">
        <f t="shared" si="365"/>
        <v>1-713.24893482681i</v>
      </c>
      <c r="AH436" s="51">
        <f t="shared" si="384"/>
        <v>713.24963584398631</v>
      </c>
      <c r="AI436" s="51">
        <f t="shared" si="385"/>
        <v>-1.5693942926719722</v>
      </c>
      <c r="AJ436" s="51" t="str">
        <f t="shared" si="366"/>
        <v>1+0.950998579769078i</v>
      </c>
      <c r="AK436" s="51">
        <f t="shared" si="386"/>
        <v>1.379999383595081</v>
      </c>
      <c r="AL436" s="51">
        <f t="shared" si="387"/>
        <v>0.76028737090733967</v>
      </c>
      <c r="AM436" s="51" t="e">
        <f t="shared" si="367"/>
        <v>#NUM!</v>
      </c>
      <c r="AN436" s="51" t="e">
        <f t="shared" si="388"/>
        <v>#NUM!</v>
      </c>
      <c r="AO436" s="51" t="e">
        <f t="shared" si="389"/>
        <v>#NUM!</v>
      </c>
      <c r="AP436" s="60" t="e">
        <f t="shared" si="390"/>
        <v>#NUM!</v>
      </c>
      <c r="AQ436" s="51" t="e">
        <f t="shared" si="391"/>
        <v>#NUM!</v>
      </c>
      <c r="AR436" s="63" t="e">
        <f t="shared" si="392"/>
        <v>#NUM!</v>
      </c>
      <c r="AS436" s="32" t="str">
        <f t="shared" si="368"/>
        <v>-0.000170731707317073</v>
      </c>
      <c r="AT436" s="32" t="str">
        <f t="shared" si="369"/>
        <v>0.036137946031225i</v>
      </c>
      <c r="AU436" s="32">
        <f t="shared" si="393"/>
        <v>3.6137946031224999E-2</v>
      </c>
      <c r="AV436" s="32">
        <f t="shared" si="394"/>
        <v>1.5707963267948966</v>
      </c>
      <c r="AW436" s="32" t="str">
        <f t="shared" si="370"/>
        <v>1+7.69407903590013i</v>
      </c>
      <c r="AX436" s="32">
        <f t="shared" si="395"/>
        <v>7.7587919298482211</v>
      </c>
      <c r="AY436" s="32">
        <f t="shared" si="396"/>
        <v>1.4415507542831547</v>
      </c>
      <c r="AZ436" s="32" t="str">
        <f t="shared" si="371"/>
        <v>1+146.187501682103i</v>
      </c>
      <c r="BA436" s="32">
        <f t="shared" si="397"/>
        <v>146.19092190712411</v>
      </c>
      <c r="BB436" s="32">
        <f t="shared" si="398"/>
        <v>1.5639559034254948</v>
      </c>
      <c r="BC436" s="60" t="str">
        <f t="shared" si="399"/>
        <v>-0.0108690517320728+0.0883517872106992i</v>
      </c>
      <c r="BD436" s="51">
        <f t="shared" si="400"/>
        <v>-21.010459644621726</v>
      </c>
      <c r="BE436" s="63">
        <f t="shared" si="401"/>
        <v>97.01329843652546</v>
      </c>
      <c r="BF436" s="60" t="str">
        <f t="shared" si="402"/>
        <v>0.00372946692292143-0.00900895623948612i</v>
      </c>
      <c r="BG436" s="66">
        <f t="shared" si="403"/>
        <v>-40.219555191223861</v>
      </c>
      <c r="BH436" s="63">
        <f t="shared" si="404"/>
        <v>-67.51175331733333</v>
      </c>
      <c r="BI436" s="60" t="e">
        <f t="shared" si="409"/>
        <v>#NUM!</v>
      </c>
      <c r="BJ436" s="66" t="e">
        <f t="shared" si="405"/>
        <v>#NUM!</v>
      </c>
      <c r="BK436" s="63" t="e">
        <f t="shared" si="410"/>
        <v>#NUM!</v>
      </c>
      <c r="BL436" s="51">
        <f t="shared" si="406"/>
        <v>-40.219555191223861</v>
      </c>
      <c r="BM436" s="63">
        <f t="shared" si="407"/>
        <v>-67.51175331733333</v>
      </c>
    </row>
    <row r="437" spans="14:65" x14ac:dyDescent="0.3">
      <c r="N437" s="11">
        <v>19</v>
      </c>
      <c r="O437" s="52">
        <f t="shared" si="408"/>
        <v>154881.66189124843</v>
      </c>
      <c r="P437" s="50" t="str">
        <f t="shared" si="360"/>
        <v>23.3035714285714</v>
      </c>
      <c r="Q437" s="18" t="str">
        <f t="shared" si="361"/>
        <v>1+521.330454828561i</v>
      </c>
      <c r="R437" s="18">
        <f t="shared" si="372"/>
        <v>521.3314139122582</v>
      </c>
      <c r="S437" s="18">
        <f t="shared" si="373"/>
        <v>1.5688781599886357</v>
      </c>
      <c r="T437" s="18" t="str">
        <f t="shared" si="362"/>
        <v>1+0.973150182346649i</v>
      </c>
      <c r="U437" s="18">
        <f t="shared" si="374"/>
        <v>1.3953570429826612</v>
      </c>
      <c r="V437" s="18">
        <f t="shared" si="375"/>
        <v>0.7717914137192905</v>
      </c>
      <c r="W437" s="32" t="str">
        <f t="shared" si="363"/>
        <v>1-2.37881155684736i</v>
      </c>
      <c r="X437" s="18">
        <f t="shared" si="376"/>
        <v>2.580454305542061</v>
      </c>
      <c r="Y437" s="18">
        <f t="shared" si="377"/>
        <v>-1.1728470753112039</v>
      </c>
      <c r="Z437" s="32" t="str">
        <f t="shared" si="364"/>
        <v>0.90404668323922+1.16751260251583i</v>
      </c>
      <c r="AA437" s="18">
        <f t="shared" si="378"/>
        <v>1.4766130442702723</v>
      </c>
      <c r="AB437" s="18">
        <f t="shared" si="379"/>
        <v>0.91190142007735042</v>
      </c>
      <c r="AC437" s="68" t="str">
        <f t="shared" si="380"/>
        <v>-0.105342553454421-0.0279960269464008i</v>
      </c>
      <c r="AD437" s="66">
        <f t="shared" si="381"/>
        <v>-19.251531783350853</v>
      </c>
      <c r="AE437" s="63">
        <f t="shared" si="382"/>
        <v>-165.11699659906139</v>
      </c>
      <c r="AF437" s="51" t="e">
        <f t="shared" si="383"/>
        <v>#NUM!</v>
      </c>
      <c r="AG437" s="51" t="str">
        <f t="shared" si="365"/>
        <v>1-729.862636759989i</v>
      </c>
      <c r="AH437" s="51">
        <f t="shared" si="384"/>
        <v>729.8633218200813</v>
      </c>
      <c r="AI437" s="51">
        <f t="shared" si="385"/>
        <v>-1.5694262068245195</v>
      </c>
      <c r="AJ437" s="51" t="str">
        <f t="shared" si="366"/>
        <v>1+0.973150182346649i</v>
      </c>
      <c r="AK437" s="51">
        <f t="shared" si="386"/>
        <v>1.3953570429826612</v>
      </c>
      <c r="AL437" s="51">
        <f t="shared" si="387"/>
        <v>0.7717914137192905</v>
      </c>
      <c r="AM437" s="51" t="e">
        <f t="shared" si="367"/>
        <v>#NUM!</v>
      </c>
      <c r="AN437" s="51" t="e">
        <f t="shared" si="388"/>
        <v>#NUM!</v>
      </c>
      <c r="AO437" s="51" t="e">
        <f t="shared" si="389"/>
        <v>#NUM!</v>
      </c>
      <c r="AP437" s="60" t="e">
        <f t="shared" si="390"/>
        <v>#NUM!</v>
      </c>
      <c r="AQ437" s="51" t="e">
        <f t="shared" si="391"/>
        <v>#NUM!</v>
      </c>
      <c r="AR437" s="63" t="e">
        <f t="shared" si="392"/>
        <v>#NUM!</v>
      </c>
      <c r="AS437" s="32" t="str">
        <f t="shared" si="368"/>
        <v>-0.000170731707317073</v>
      </c>
      <c r="AT437" s="32" t="str">
        <f t="shared" si="369"/>
        <v>0.0369797069291726i</v>
      </c>
      <c r="AU437" s="32">
        <f t="shared" si="393"/>
        <v>3.6979706929172601E-2</v>
      </c>
      <c r="AV437" s="32">
        <f t="shared" si="394"/>
        <v>1.5707963267948966</v>
      </c>
      <c r="AW437" s="32" t="str">
        <f t="shared" si="370"/>
        <v>1+7.87329715949088i</v>
      </c>
      <c r="AX437" s="32">
        <f t="shared" si="395"/>
        <v>7.9365488823321169</v>
      </c>
      <c r="AY437" s="32">
        <f t="shared" si="396"/>
        <v>1.4444611814675681</v>
      </c>
      <c r="AZ437" s="32" t="str">
        <f t="shared" si="371"/>
        <v>1+149.592646030327i</v>
      </c>
      <c r="BA437" s="32">
        <f t="shared" si="397"/>
        <v>149.59598840328138</v>
      </c>
      <c r="BB437" s="32">
        <f t="shared" si="398"/>
        <v>1.5641116057786786</v>
      </c>
      <c r="BC437" s="60" t="str">
        <f t="shared" si="399"/>
        <v>-0.0103876300883505+0.0864018011292569i</v>
      </c>
      <c r="BD437" s="51">
        <f t="shared" si="400"/>
        <v>-21.207220592062718</v>
      </c>
      <c r="BE437" s="63">
        <f t="shared" si="401"/>
        <v>96.855464329976101</v>
      </c>
      <c r="BF437" s="60" t="str">
        <f t="shared" si="402"/>
        <v>0.00351316663047905-0.0088109739821543i</v>
      </c>
      <c r="BG437" s="66">
        <f t="shared" si="403"/>
        <v>-40.458752375413567</v>
      </c>
      <c r="BH437" s="63">
        <f t="shared" si="404"/>
        <v>-68.261532269085322</v>
      </c>
      <c r="BI437" s="60" t="e">
        <f t="shared" si="409"/>
        <v>#NUM!</v>
      </c>
      <c r="BJ437" s="66" t="e">
        <f t="shared" si="405"/>
        <v>#NUM!</v>
      </c>
      <c r="BK437" s="63" t="e">
        <f t="shared" si="410"/>
        <v>#NUM!</v>
      </c>
      <c r="BL437" s="51">
        <f t="shared" si="406"/>
        <v>-40.458752375413567</v>
      </c>
      <c r="BM437" s="63">
        <f t="shared" si="407"/>
        <v>-68.261532269085322</v>
      </c>
    </row>
    <row r="438" spans="14:65" x14ac:dyDescent="0.3">
      <c r="N438" s="11">
        <v>20</v>
      </c>
      <c r="O438" s="52">
        <f t="shared" si="408"/>
        <v>158489.31924611164</v>
      </c>
      <c r="P438" s="50" t="str">
        <f t="shared" si="360"/>
        <v>23.3035714285714</v>
      </c>
      <c r="Q438" s="18" t="str">
        <f t="shared" si="361"/>
        <v>1+533.473801088604i</v>
      </c>
      <c r="R438" s="18">
        <f t="shared" si="372"/>
        <v>533.47473834092966</v>
      </c>
      <c r="S438" s="18">
        <f t="shared" si="373"/>
        <v>1.5689218226923447</v>
      </c>
      <c r="T438" s="18" t="str">
        <f t="shared" si="362"/>
        <v>1+0.995817762032063i</v>
      </c>
      <c r="U438" s="18">
        <f t="shared" si="374"/>
        <v>1.4112593720427675</v>
      </c>
      <c r="V438" s="18">
        <f t="shared" si="375"/>
        <v>0.78330266553890648</v>
      </c>
      <c r="W438" s="32" t="str">
        <f t="shared" si="363"/>
        <v>1-2.43422119607838i</v>
      </c>
      <c r="X438" s="18">
        <f t="shared" si="376"/>
        <v>2.6316217113098266</v>
      </c>
      <c r="Y438" s="18">
        <f t="shared" si="377"/>
        <v>-1.1810067060985165</v>
      </c>
      <c r="Z438" s="32" t="str">
        <f t="shared" si="364"/>
        <v>0.899524542739616+1.19470746455392i</v>
      </c>
      <c r="AA438" s="18">
        <f t="shared" si="378"/>
        <v>1.4954833094527571</v>
      </c>
      <c r="AB438" s="18">
        <f t="shared" si="379"/>
        <v>0.92542615194844402</v>
      </c>
      <c r="AC438" s="68" t="str">
        <f t="shared" si="380"/>
        <v>-0.105121795511016-0.0267905699265663i</v>
      </c>
      <c r="AD438" s="66">
        <f t="shared" si="381"/>
        <v>-19.29285290013982</v>
      </c>
      <c r="AE438" s="63">
        <f t="shared" si="382"/>
        <v>-165.70237460328747</v>
      </c>
      <c r="AF438" s="51" t="e">
        <f t="shared" si="383"/>
        <v>#NUM!</v>
      </c>
      <c r="AG438" s="51" t="str">
        <f t="shared" si="365"/>
        <v>1-746.863321524049i</v>
      </c>
      <c r="AH438" s="51">
        <f t="shared" si="384"/>
        <v>746.86399099028404</v>
      </c>
      <c r="AI438" s="51">
        <f t="shared" si="385"/>
        <v>-1.5694573945249608</v>
      </c>
      <c r="AJ438" s="51" t="str">
        <f t="shared" si="366"/>
        <v>1+0.995817762032063i</v>
      </c>
      <c r="AK438" s="51">
        <f t="shared" si="386"/>
        <v>1.4112593720427675</v>
      </c>
      <c r="AL438" s="51">
        <f t="shared" si="387"/>
        <v>0.78330266553890648</v>
      </c>
      <c r="AM438" s="51" t="e">
        <f t="shared" si="367"/>
        <v>#NUM!</v>
      </c>
      <c r="AN438" s="51" t="e">
        <f t="shared" si="388"/>
        <v>#NUM!</v>
      </c>
      <c r="AO438" s="51" t="e">
        <f t="shared" si="389"/>
        <v>#NUM!</v>
      </c>
      <c r="AP438" s="60" t="e">
        <f t="shared" si="390"/>
        <v>#NUM!</v>
      </c>
      <c r="AQ438" s="51" t="e">
        <f t="shared" si="391"/>
        <v>#NUM!</v>
      </c>
      <c r="AR438" s="63" t="e">
        <f t="shared" si="392"/>
        <v>#NUM!</v>
      </c>
      <c r="AS438" s="32" t="str">
        <f t="shared" si="368"/>
        <v>-0.000170731707317073</v>
      </c>
      <c r="AT438" s="32" t="str">
        <f t="shared" si="369"/>
        <v>0.0378410749572184i</v>
      </c>
      <c r="AU438" s="32">
        <f t="shared" si="393"/>
        <v>3.7841074957218397E-2</v>
      </c>
      <c r="AV438" s="32">
        <f t="shared" si="394"/>
        <v>1.5707963267948966</v>
      </c>
      <c r="AW438" s="32" t="str">
        <f t="shared" si="370"/>
        <v>1+8.05668980945097i</v>
      </c>
      <c r="AX438" s="32">
        <f t="shared" si="395"/>
        <v>8.1185128370725099</v>
      </c>
      <c r="AY438" s="32">
        <f t="shared" si="396"/>
        <v>1.4473074399318184</v>
      </c>
      <c r="AZ438" s="32" t="str">
        <f t="shared" si="371"/>
        <v>1+153.077106379569i</v>
      </c>
      <c r="BA438" s="32">
        <f t="shared" si="397"/>
        <v>153.08037267246863</v>
      </c>
      <c r="BB438" s="32">
        <f t="shared" si="398"/>
        <v>1.5642637642267962</v>
      </c>
      <c r="BC438" s="60" t="str">
        <f t="shared" si="399"/>
        <v>-0.00992720300836471+0.0844922044395113i</v>
      </c>
      <c r="BD438" s="51">
        <f t="shared" si="400"/>
        <v>-21.404125051396164</v>
      </c>
      <c r="BE438" s="63">
        <f t="shared" si="401"/>
        <v>96.70110376946559</v>
      </c>
      <c r="BF438" s="60" t="str">
        <f t="shared" si="402"/>
        <v>0.00330715971592812-0.00861601681099445i</v>
      </c>
      <c r="BG438" s="66">
        <f t="shared" si="403"/>
        <v>-40.696977951535985</v>
      </c>
      <c r="BH438" s="63">
        <f t="shared" si="404"/>
        <v>-69.001270833821863</v>
      </c>
      <c r="BI438" s="60" t="e">
        <f t="shared" si="409"/>
        <v>#NUM!</v>
      </c>
      <c r="BJ438" s="66" t="e">
        <f t="shared" si="405"/>
        <v>#NUM!</v>
      </c>
      <c r="BK438" s="63" t="e">
        <f t="shared" si="410"/>
        <v>#NUM!</v>
      </c>
      <c r="BL438" s="51">
        <f t="shared" si="406"/>
        <v>-40.696977951535985</v>
      </c>
      <c r="BM438" s="63">
        <f t="shared" si="407"/>
        <v>-69.001270833821863</v>
      </c>
    </row>
    <row r="439" spans="14:65" x14ac:dyDescent="0.3">
      <c r="N439" s="11">
        <v>21</v>
      </c>
      <c r="O439" s="52">
        <f t="shared" si="408"/>
        <v>162181.00973589328</v>
      </c>
      <c r="P439" s="50" t="str">
        <f t="shared" si="360"/>
        <v>23.3035714285714</v>
      </c>
      <c r="Q439" s="18" t="str">
        <f t="shared" si="361"/>
        <v>1+545.900002219344i</v>
      </c>
      <c r="R439" s="18">
        <f t="shared" si="372"/>
        <v>545.90091813723836</v>
      </c>
      <c r="S439" s="18">
        <f t="shared" si="373"/>
        <v>1.5689644915184831</v>
      </c>
      <c r="T439" s="18" t="str">
        <f t="shared" si="362"/>
        <v>1+1.01901333747611i</v>
      </c>
      <c r="U439" s="18">
        <f t="shared" si="374"/>
        <v>1.4277213250330751</v>
      </c>
      <c r="V439" s="18">
        <f t="shared" si="375"/>
        <v>0.79481502811175009</v>
      </c>
      <c r="W439" s="32" t="str">
        <f t="shared" si="363"/>
        <v>1-2.49092149160827i</v>
      </c>
      <c r="X439" s="18">
        <f t="shared" si="376"/>
        <v>2.6841553377843033</v>
      </c>
      <c r="Y439" s="18">
        <f t="shared" si="377"/>
        <v>-1.1890338099162836</v>
      </c>
      <c r="Z439" s="32" t="str">
        <f t="shared" si="364"/>
        <v>0.894789280324185+1.22253577630353i</v>
      </c>
      <c r="AA439" s="18">
        <f t="shared" si="378"/>
        <v>1.5150054721106283</v>
      </c>
      <c r="AB439" s="18">
        <f t="shared" si="379"/>
        <v>0.93897203624112957</v>
      </c>
      <c r="AC439" s="68" t="str">
        <f t="shared" si="380"/>
        <v>-0.104900037704543-0.0256082426695508i</v>
      </c>
      <c r="AD439" s="66">
        <f t="shared" si="381"/>
        <v>-19.333088988327752</v>
      </c>
      <c r="AE439" s="63">
        <f t="shared" si="382"/>
        <v>-166.28125072950854</v>
      </c>
      <c r="AF439" s="51" t="e">
        <f t="shared" si="383"/>
        <v>#NUM!</v>
      </c>
      <c r="AG439" s="51" t="str">
        <f t="shared" si="365"/>
        <v>1-764.260003107084i</v>
      </c>
      <c r="AH439" s="51">
        <f t="shared" si="384"/>
        <v>764.2606573344201</v>
      </c>
      <c r="AI439" s="51">
        <f t="shared" si="385"/>
        <v>-1.5694878723091847</v>
      </c>
      <c r="AJ439" s="51" t="str">
        <f t="shared" si="366"/>
        <v>1+1.01901333747611i</v>
      </c>
      <c r="AK439" s="51">
        <f t="shared" si="386"/>
        <v>1.4277213250330751</v>
      </c>
      <c r="AL439" s="51">
        <f t="shared" si="387"/>
        <v>0.79481502811175009</v>
      </c>
      <c r="AM439" s="51" t="e">
        <f t="shared" si="367"/>
        <v>#NUM!</v>
      </c>
      <c r="AN439" s="51" t="e">
        <f t="shared" si="388"/>
        <v>#NUM!</v>
      </c>
      <c r="AO439" s="51" t="e">
        <f t="shared" si="389"/>
        <v>#NUM!</v>
      </c>
      <c r="AP439" s="60" t="e">
        <f t="shared" si="390"/>
        <v>#NUM!</v>
      </c>
      <c r="AQ439" s="51" t="e">
        <f t="shared" si="391"/>
        <v>#NUM!</v>
      </c>
      <c r="AR439" s="63" t="e">
        <f t="shared" si="392"/>
        <v>#NUM!</v>
      </c>
      <c r="AS439" s="32" t="str">
        <f t="shared" si="368"/>
        <v>-0.000170731707317073</v>
      </c>
      <c r="AT439" s="32" t="str">
        <f t="shared" si="369"/>
        <v>0.0387225068240923i</v>
      </c>
      <c r="AU439" s="32">
        <f t="shared" si="393"/>
        <v>3.8722506824092298E-2</v>
      </c>
      <c r="AV439" s="32">
        <f t="shared" si="394"/>
        <v>1.5707963267948966</v>
      </c>
      <c r="AW439" s="32" t="str">
        <f t="shared" si="370"/>
        <v>1+8.24435422299092i</v>
      </c>
      <c r="AX439" s="32">
        <f t="shared" si="395"/>
        <v>8.3047803435219283</v>
      </c>
      <c r="AY439" s="32">
        <f t="shared" si="396"/>
        <v>1.4500908542367394</v>
      </c>
      <c r="AZ439" s="32" t="str">
        <f t="shared" si="371"/>
        <v>1+156.642730236828i</v>
      </c>
      <c r="BA439" s="32">
        <f t="shared" si="397"/>
        <v>156.64592218135672</v>
      </c>
      <c r="BB439" s="32">
        <f t="shared" si="398"/>
        <v>1.5644124594180726</v>
      </c>
      <c r="BC439" s="60" t="str">
        <f t="shared" si="399"/>
        <v>-0.00948688347756147+0.0826223356727077i</v>
      </c>
      <c r="BD439" s="51">
        <f t="shared" si="400"/>
        <v>-21.60116676025007</v>
      </c>
      <c r="BE439" s="63">
        <f t="shared" si="401"/>
        <v>96.550145484051313</v>
      </c>
      <c r="BF439" s="60" t="str">
        <f t="shared" si="402"/>
        <v>0.00311098725632659-0.0084241437130333i</v>
      </c>
      <c r="BG439" s="66">
        <f t="shared" si="403"/>
        <v>-40.934255748577826</v>
      </c>
      <c r="BH439" s="63">
        <f t="shared" si="404"/>
        <v>-69.731105245457172</v>
      </c>
      <c r="BI439" s="60" t="e">
        <f t="shared" si="409"/>
        <v>#NUM!</v>
      </c>
      <c r="BJ439" s="66" t="e">
        <f t="shared" si="405"/>
        <v>#NUM!</v>
      </c>
      <c r="BK439" s="63" t="e">
        <f t="shared" si="410"/>
        <v>#NUM!</v>
      </c>
      <c r="BL439" s="51">
        <f t="shared" si="406"/>
        <v>-40.934255748577826</v>
      </c>
      <c r="BM439" s="63">
        <f t="shared" si="407"/>
        <v>-69.731105245457172</v>
      </c>
    </row>
    <row r="440" spans="14:65" x14ac:dyDescent="0.3">
      <c r="N440" s="11">
        <v>22</v>
      </c>
      <c r="O440" s="52">
        <f t="shared" si="408"/>
        <v>165958.69074375604</v>
      </c>
      <c r="P440" s="50" t="str">
        <f t="shared" si="360"/>
        <v>23.3035714285714</v>
      </c>
      <c r="Q440" s="18" t="str">
        <f t="shared" si="361"/>
        <v>1+558.615646757104i</v>
      </c>
      <c r="R440" s="18">
        <f t="shared" si="372"/>
        <v>558.61654182619543</v>
      </c>
      <c r="S440" s="18">
        <f t="shared" si="373"/>
        <v>1.5690061890900053</v>
      </c>
      <c r="T440" s="18" t="str">
        <f t="shared" si="362"/>
        <v>1+1.04274920727993i</v>
      </c>
      <c r="U440" s="18">
        <f t="shared" si="374"/>
        <v>1.4447580798469073</v>
      </c>
      <c r="V440" s="18">
        <f t="shared" si="375"/>
        <v>0.80632240024142177</v>
      </c>
      <c r="W440" s="32" t="str">
        <f t="shared" si="363"/>
        <v>1-2.54894250668427i</v>
      </c>
      <c r="X440" s="18">
        <f t="shared" si="376"/>
        <v>2.7380847142449571</v>
      </c>
      <c r="Y440" s="18">
        <f t="shared" si="377"/>
        <v>-1.1969285040252104</v>
      </c>
      <c r="Z440" s="32" t="str">
        <f t="shared" si="364"/>
        <v>0.889830851866473+1.25101229270391i</v>
      </c>
      <c r="AA440" s="18">
        <f t="shared" si="378"/>
        <v>1.5351972842047719</v>
      </c>
      <c r="AB440" s="18">
        <f t="shared" si="379"/>
        <v>0.95253419416085316</v>
      </c>
      <c r="AC440" s="68" t="str">
        <f t="shared" si="380"/>
        <v>-0.104677403266801-0.0244483749321504i</v>
      </c>
      <c r="AD440" s="66">
        <f t="shared" si="381"/>
        <v>-19.372269760634605</v>
      </c>
      <c r="AE440" s="63">
        <f t="shared" si="382"/>
        <v>-166.85370303093444</v>
      </c>
      <c r="AF440" s="51" t="e">
        <f t="shared" si="383"/>
        <v>#NUM!</v>
      </c>
      <c r="AG440" s="51" t="str">
        <f t="shared" si="365"/>
        <v>1-782.061905459949i</v>
      </c>
      <c r="AH440" s="51">
        <f t="shared" si="384"/>
        <v>782.06254479526524</v>
      </c>
      <c r="AI440" s="51">
        <f t="shared" si="385"/>
        <v>-1.5695176563366897</v>
      </c>
      <c r="AJ440" s="51" t="str">
        <f t="shared" si="366"/>
        <v>1+1.04274920727993i</v>
      </c>
      <c r="AK440" s="51">
        <f t="shared" si="386"/>
        <v>1.4447580798469073</v>
      </c>
      <c r="AL440" s="51">
        <f t="shared" si="387"/>
        <v>0.80632240024142177</v>
      </c>
      <c r="AM440" s="51" t="e">
        <f t="shared" si="367"/>
        <v>#NUM!</v>
      </c>
      <c r="AN440" s="51" t="e">
        <f t="shared" si="388"/>
        <v>#NUM!</v>
      </c>
      <c r="AO440" s="51" t="e">
        <f t="shared" si="389"/>
        <v>#NUM!</v>
      </c>
      <c r="AP440" s="60" t="e">
        <f t="shared" si="390"/>
        <v>#NUM!</v>
      </c>
      <c r="AQ440" s="51" t="e">
        <f t="shared" si="391"/>
        <v>#NUM!</v>
      </c>
      <c r="AR440" s="63" t="e">
        <f t="shared" si="392"/>
        <v>#NUM!</v>
      </c>
      <c r="AS440" s="32" t="str">
        <f t="shared" si="368"/>
        <v>-0.000170731707317073</v>
      </c>
      <c r="AT440" s="32" t="str">
        <f t="shared" si="369"/>
        <v>0.0396244698766373i</v>
      </c>
      <c r="AU440" s="32">
        <f t="shared" si="393"/>
        <v>3.96244698766373E-2</v>
      </c>
      <c r="AV440" s="32">
        <f t="shared" si="394"/>
        <v>1.5707963267948966</v>
      </c>
      <c r="AW440" s="32" t="str">
        <f t="shared" si="370"/>
        <v>1+8.43638990226687i</v>
      </c>
      <c r="AX440" s="32">
        <f t="shared" si="395"/>
        <v>8.4954502283910998</v>
      </c>
      <c r="AY440" s="32">
        <f t="shared" si="396"/>
        <v>1.4528127275793334</v>
      </c>
      <c r="AZ440" s="32" t="str">
        <f t="shared" si="371"/>
        <v>1+160.291408143071i</v>
      </c>
      <c r="BA440" s="32">
        <f t="shared" si="397"/>
        <v>160.2945274315021</v>
      </c>
      <c r="BB440" s="32">
        <f t="shared" si="398"/>
        <v>1.5645577701663498</v>
      </c>
      <c r="BC440" s="60" t="str">
        <f t="shared" si="399"/>
        <v>-0.00906581947626401+0.080791532149885i</v>
      </c>
      <c r="BD440" s="51">
        <f t="shared" si="400"/>
        <v>-21.798339721172731</v>
      </c>
      <c r="BE440" s="63">
        <f t="shared" si="401"/>
        <v>96.402519321745686</v>
      </c>
      <c r="BF440" s="60" t="str">
        <f t="shared" si="402"/>
        <v>0.00292420811060418-0.00823540323777334i</v>
      </c>
      <c r="BG440" s="66">
        <f t="shared" si="403"/>
        <v>-41.170609481807332</v>
      </c>
      <c r="BH440" s="63">
        <f t="shared" si="404"/>
        <v>-70.451183709188754</v>
      </c>
      <c r="BI440" s="60" t="e">
        <f t="shared" si="409"/>
        <v>#NUM!</v>
      </c>
      <c r="BJ440" s="66" t="e">
        <f t="shared" si="405"/>
        <v>#NUM!</v>
      </c>
      <c r="BK440" s="63" t="e">
        <f t="shared" si="410"/>
        <v>#NUM!</v>
      </c>
      <c r="BL440" s="51">
        <f t="shared" si="406"/>
        <v>-41.170609481807332</v>
      </c>
      <c r="BM440" s="63">
        <f t="shared" si="407"/>
        <v>-70.451183709188754</v>
      </c>
    </row>
    <row r="441" spans="14:65" x14ac:dyDescent="0.3">
      <c r="N441" s="11">
        <v>23</v>
      </c>
      <c r="O441" s="52">
        <f t="shared" si="408"/>
        <v>169824.36524617471</v>
      </c>
      <c r="P441" s="50" t="str">
        <f t="shared" si="360"/>
        <v>23.3035714285714</v>
      </c>
      <c r="Q441" s="18" t="str">
        <f t="shared" si="361"/>
        <v>1+571.627476704924i</v>
      </c>
      <c r="R441" s="18">
        <f t="shared" si="372"/>
        <v>571.62835139978699</v>
      </c>
      <c r="S441" s="18">
        <f t="shared" si="373"/>
        <v>1.5690469375149354</v>
      </c>
      <c r="T441" s="18" t="str">
        <f t="shared" si="362"/>
        <v>1+1.06703795651586i</v>
      </c>
      <c r="U441" s="18">
        <f t="shared" si="374"/>
        <v>1.4623850384373953</v>
      </c>
      <c r="V441" s="18">
        <f t="shared" si="375"/>
        <v>0.81781869394397333</v>
      </c>
      <c r="W441" s="32" t="str">
        <f t="shared" si="363"/>
        <v>1-2.60831500481655i</v>
      </c>
      <c r="X441" s="18">
        <f t="shared" si="376"/>
        <v>2.7934400234032517</v>
      </c>
      <c r="Y441" s="18">
        <f t="shared" si="377"/>
        <v>-1.2046910368926049</v>
      </c>
      <c r="Z441" s="32" t="str">
        <f t="shared" si="364"/>
        <v>0.884638739874936+1.28015211238099i</v>
      </c>
      <c r="AA441" s="18">
        <f t="shared" si="378"/>
        <v>1.5560768396583202</v>
      </c>
      <c r="AB441" s="18">
        <f t="shared" si="379"/>
        <v>0.96610785008636557</v>
      </c>
      <c r="AC441" s="68" t="str">
        <f t="shared" si="380"/>
        <v>-0.104454007417726-0.023310297081571i</v>
      </c>
      <c r="AD441" s="66">
        <f t="shared" si="381"/>
        <v>-19.410424566318497</v>
      </c>
      <c r="AE441" s="63">
        <f t="shared" si="382"/>
        <v>-167.41982220323357</v>
      </c>
      <c r="AF441" s="51" t="e">
        <f t="shared" si="383"/>
        <v>#NUM!</v>
      </c>
      <c r="AG441" s="51" t="str">
        <f t="shared" si="365"/>
        <v>1-800.278467386897i</v>
      </c>
      <c r="AH441" s="51">
        <f t="shared" si="384"/>
        <v>800.27909216917624</v>
      </c>
      <c r="AI441" s="51">
        <f t="shared" si="385"/>
        <v>-1.5695467623991497</v>
      </c>
      <c r="AJ441" s="51" t="str">
        <f t="shared" si="366"/>
        <v>1+1.06703795651586i</v>
      </c>
      <c r="AK441" s="51">
        <f t="shared" si="386"/>
        <v>1.4623850384373953</v>
      </c>
      <c r="AL441" s="51">
        <f t="shared" si="387"/>
        <v>0.81781869394397333</v>
      </c>
      <c r="AM441" s="51" t="e">
        <f t="shared" si="367"/>
        <v>#NUM!</v>
      </c>
      <c r="AN441" s="51" t="e">
        <f t="shared" si="388"/>
        <v>#NUM!</v>
      </c>
      <c r="AO441" s="51" t="e">
        <f t="shared" si="389"/>
        <v>#NUM!</v>
      </c>
      <c r="AP441" s="60" t="e">
        <f t="shared" si="390"/>
        <v>#NUM!</v>
      </c>
      <c r="AQ441" s="51" t="e">
        <f t="shared" si="391"/>
        <v>#NUM!</v>
      </c>
      <c r="AR441" s="63" t="e">
        <f t="shared" si="392"/>
        <v>#NUM!</v>
      </c>
      <c r="AS441" s="32" t="str">
        <f t="shared" si="368"/>
        <v>-0.000170731707317073</v>
      </c>
      <c r="AT441" s="32" t="str">
        <f t="shared" si="369"/>
        <v>0.0405474423476029i</v>
      </c>
      <c r="AU441" s="32">
        <f t="shared" si="393"/>
        <v>4.0547442347602901E-2</v>
      </c>
      <c r="AV441" s="32">
        <f t="shared" si="394"/>
        <v>1.5707963267948966</v>
      </c>
      <c r="AW441" s="32" t="str">
        <f t="shared" si="370"/>
        <v>1+8.63289866713778i</v>
      </c>
      <c r="AX441" s="32">
        <f t="shared" si="395"/>
        <v>8.6906236483390114</v>
      </c>
      <c r="AY441" s="32">
        <f t="shared" si="396"/>
        <v>1.4554743417241283</v>
      </c>
      <c r="AZ441" s="32" t="str">
        <f t="shared" si="371"/>
        <v>1+164.025074675618i</v>
      </c>
      <c r="BA441" s="32">
        <f t="shared" si="397"/>
        <v>164.02812296171061</v>
      </c>
      <c r="BB441" s="32">
        <f t="shared" si="398"/>
        <v>1.5646997734927495</v>
      </c>
      <c r="BC441" s="60" t="str">
        <f t="shared" si="399"/>
        <v>-0.00866319281719298+0.0789991309956079i</v>
      </c>
      <c r="BD441" s="51">
        <f t="shared" si="400"/>
        <v>-21.995638191151411</v>
      </c>
      <c r="BE441" s="63">
        <f t="shared" si="401"/>
        <v>96.258156255836141</v>
      </c>
      <c r="BF441" s="60" t="str">
        <f t="shared" si="402"/>
        <v>0.00274639841948183-0.00804983421676544i</v>
      </c>
      <c r="BG441" s="66">
        <f t="shared" si="403"/>
        <v>-41.406062757469904</v>
      </c>
      <c r="BH441" s="63">
        <f t="shared" si="404"/>
        <v>-71.161665947397466</v>
      </c>
      <c r="BI441" s="60" t="e">
        <f t="shared" si="409"/>
        <v>#NUM!</v>
      </c>
      <c r="BJ441" s="66" t="e">
        <f t="shared" si="405"/>
        <v>#NUM!</v>
      </c>
      <c r="BK441" s="63" t="e">
        <f t="shared" si="410"/>
        <v>#NUM!</v>
      </c>
      <c r="BL441" s="51">
        <f t="shared" si="406"/>
        <v>-41.406062757469904</v>
      </c>
      <c r="BM441" s="63">
        <f t="shared" si="407"/>
        <v>-71.161665947397466</v>
      </c>
    </row>
    <row r="442" spans="14:65" x14ac:dyDescent="0.3">
      <c r="N442" s="11">
        <v>24</v>
      </c>
      <c r="O442" s="52">
        <f t="shared" si="408"/>
        <v>173780.0828749378</v>
      </c>
      <c r="P442" s="50" t="str">
        <f t="shared" si="360"/>
        <v>23.3035714285714</v>
      </c>
      <c r="Q442" s="18" t="str">
        <f t="shared" si="361"/>
        <v>1+584.942391107281i</v>
      </c>
      <c r="R442" s="18">
        <f t="shared" si="372"/>
        <v>584.94324589168764</v>
      </c>
      <c r="S442" s="18">
        <f t="shared" si="373"/>
        <v>1.5690867583980861</v>
      </c>
      <c r="T442" s="18" t="str">
        <f t="shared" si="362"/>
        <v>1+1.09189246340026i</v>
      </c>
      <c r="U442" s="18">
        <f t="shared" si="374"/>
        <v>1.4806178276754229</v>
      </c>
      <c r="V442" s="18">
        <f t="shared" si="375"/>
        <v>0.82929785051711802</v>
      </c>
      <c r="W442" s="32" t="str">
        <f t="shared" si="363"/>
        <v>1-2.66907046608953i</v>
      </c>
      <c r="X442" s="18">
        <f t="shared" si="376"/>
        <v>2.8502521209449845</v>
      </c>
      <c r="Y442" s="18">
        <f t="shared" si="377"/>
        <v>-1.2123217813240841</v>
      </c>
      <c r="Z442" s="32" t="str">
        <f t="shared" si="364"/>
        <v>0.879201931183919+1.30997068565288i</v>
      </c>
      <c r="AA442" s="18">
        <f t="shared" si="378"/>
        <v>1.5776625853037809</v>
      </c>
      <c r="AB442" s="18">
        <f t="shared" si="379"/>
        <v>0.97968834624032319</v>
      </c>
      <c r="AC442" s="68" t="str">
        <f t="shared" si="380"/>
        <v>-0.104229956518652-0.0221933402812056i</v>
      </c>
      <c r="AD442" s="66">
        <f t="shared" si="381"/>
        <v>-19.447582409708197</v>
      </c>
      <c r="AE442" s="63">
        <f t="shared" si="382"/>
        <v>-167.97971111154564</v>
      </c>
      <c r="AF442" s="51" t="e">
        <f t="shared" si="383"/>
        <v>#NUM!</v>
      </c>
      <c r="AG442" s="51" t="str">
        <f t="shared" si="365"/>
        <v>1-818.919347550197i</v>
      </c>
      <c r="AH442" s="51">
        <f t="shared" si="384"/>
        <v>818.91995811070592</v>
      </c>
      <c r="AI442" s="51">
        <f t="shared" si="385"/>
        <v>-1.5695752059287869</v>
      </c>
      <c r="AJ442" s="51" t="str">
        <f t="shared" si="366"/>
        <v>1+1.09189246340026i</v>
      </c>
      <c r="AK442" s="51">
        <f t="shared" si="386"/>
        <v>1.4806178276754229</v>
      </c>
      <c r="AL442" s="51">
        <f t="shared" si="387"/>
        <v>0.82929785051711802</v>
      </c>
      <c r="AM442" s="51" t="e">
        <f t="shared" si="367"/>
        <v>#NUM!</v>
      </c>
      <c r="AN442" s="51" t="e">
        <f t="shared" si="388"/>
        <v>#NUM!</v>
      </c>
      <c r="AO442" s="51" t="e">
        <f t="shared" si="389"/>
        <v>#NUM!</v>
      </c>
      <c r="AP442" s="60" t="e">
        <f t="shared" si="390"/>
        <v>#NUM!</v>
      </c>
      <c r="AQ442" s="51" t="e">
        <f t="shared" si="391"/>
        <v>#NUM!</v>
      </c>
      <c r="AR442" s="63" t="e">
        <f t="shared" si="392"/>
        <v>#NUM!</v>
      </c>
      <c r="AS442" s="32" t="str">
        <f t="shared" si="368"/>
        <v>-0.000170731707317073</v>
      </c>
      <c r="AT442" s="32" t="str">
        <f t="shared" si="369"/>
        <v>0.0414919136092099i</v>
      </c>
      <c r="AU442" s="32">
        <f t="shared" si="393"/>
        <v>4.1491913609209903E-2</v>
      </c>
      <c r="AV442" s="32">
        <f t="shared" si="394"/>
        <v>1.5707963267948966</v>
      </c>
      <c r="AW442" s="32" t="str">
        <f t="shared" si="370"/>
        <v>1+8.83398470915199i</v>
      </c>
      <c r="AX442" s="32">
        <f t="shared" si="395"/>
        <v>8.8904041438807013</v>
      </c>
      <c r="AY442" s="32">
        <f t="shared" si="396"/>
        <v>1.458076956969824</v>
      </c>
      <c r="AZ442" s="32" t="str">
        <f t="shared" si="371"/>
        <v>1+167.845709473888i</v>
      </c>
      <c r="BA442" s="32">
        <f t="shared" si="397"/>
        <v>167.84868837376362</v>
      </c>
      <c r="BB442" s="32">
        <f t="shared" si="398"/>
        <v>1.5648385446663939</v>
      </c>
      <c r="BC442" s="60" t="str">
        <f t="shared" si="399"/>
        <v>-0.00827821800162899+0.0772444700731315i</v>
      </c>
      <c r="BD442" s="51">
        <f t="shared" si="400"/>
        <v>-22.193056671482072</v>
      </c>
      <c r="BE442" s="63">
        <f t="shared" si="401"/>
        <v>96.11698838912929</v>
      </c>
      <c r="BF442" s="60" t="str">
        <f t="shared" si="402"/>
        <v>0.00257715111153612-0.00786746644799666i</v>
      </c>
      <c r="BG442" s="66">
        <f t="shared" si="403"/>
        <v>-41.640639081190258</v>
      </c>
      <c r="BH442" s="63">
        <f t="shared" si="404"/>
        <v>-71.862722722416379</v>
      </c>
      <c r="BI442" s="60" t="e">
        <f t="shared" si="409"/>
        <v>#NUM!</v>
      </c>
      <c r="BJ442" s="66" t="e">
        <f t="shared" si="405"/>
        <v>#NUM!</v>
      </c>
      <c r="BK442" s="63" t="e">
        <f t="shared" si="410"/>
        <v>#NUM!</v>
      </c>
      <c r="BL442" s="51">
        <f t="shared" si="406"/>
        <v>-41.640639081190258</v>
      </c>
      <c r="BM442" s="63">
        <f t="shared" si="407"/>
        <v>-71.862722722416379</v>
      </c>
    </row>
    <row r="443" spans="14:65" x14ac:dyDescent="0.3">
      <c r="N443" s="11">
        <v>25</v>
      </c>
      <c r="O443" s="52">
        <f t="shared" si="408"/>
        <v>177827.94100389251</v>
      </c>
      <c r="P443" s="50" t="str">
        <f t="shared" si="360"/>
        <v>23.3035714285714</v>
      </c>
      <c r="Q443" s="18" t="str">
        <f t="shared" si="361"/>
        <v>1+598.567449708031i</v>
      </c>
      <c r="R443" s="18">
        <f t="shared" si="372"/>
        <v>598.56828503519648</v>
      </c>
      <c r="S443" s="18">
        <f t="shared" si="373"/>
        <v>1.5691256728525111</v>
      </c>
      <c r="T443" s="18" t="str">
        <f t="shared" si="362"/>
        <v>1+1.11732590612166i</v>
      </c>
      <c r="U443" s="18">
        <f t="shared" si="374"/>
        <v>1.4994723006746704</v>
      </c>
      <c r="V443" s="18">
        <f t="shared" si="375"/>
        <v>0.84075385642093015</v>
      </c>
      <c r="W443" s="32" t="str">
        <f t="shared" si="363"/>
        <v>1-2.73124110385295i</v>
      </c>
      <c r="X443" s="18">
        <f t="shared" si="376"/>
        <v>2.9085525553745599</v>
      </c>
      <c r="Y443" s="18">
        <f t="shared" si="377"/>
        <v>-1.2198212276349398</v>
      </c>
      <c r="Z443" s="32" t="str">
        <f t="shared" si="364"/>
        <v>0.873508893593263+1.34048382272181i</v>
      </c>
      <c r="AA443" s="18">
        <f t="shared" si="378"/>
        <v>1.5999733329544603</v>
      </c>
      <c r="AB443" s="18">
        <f t="shared" si="379"/>
        <v>0.9932711567403566</v>
      </c>
      <c r="AC443" s="68" t="str">
        <f t="shared" si="380"/>
        <v>-0.104005347264297-0.0210968367469399i</v>
      </c>
      <c r="AD443" s="66">
        <f t="shared" si="381"/>
        <v>-19.483771971554741</v>
      </c>
      <c r="AE443" s="63">
        <f t="shared" si="382"/>
        <v>-168.53348429505581</v>
      </c>
      <c r="AF443" s="51" t="e">
        <f t="shared" si="383"/>
        <v>#NUM!</v>
      </c>
      <c r="AG443" s="51" t="str">
        <f t="shared" si="365"/>
        <v>1-837.994429591247i</v>
      </c>
      <c r="AH443" s="51">
        <f t="shared" si="384"/>
        <v>837.99502625371201</v>
      </c>
      <c r="AI443" s="51">
        <f t="shared" si="385"/>
        <v>-1.5696030020065528</v>
      </c>
      <c r="AJ443" s="51" t="str">
        <f t="shared" si="366"/>
        <v>1+1.11732590612166i</v>
      </c>
      <c r="AK443" s="51">
        <f t="shared" si="386"/>
        <v>1.4994723006746704</v>
      </c>
      <c r="AL443" s="51">
        <f t="shared" si="387"/>
        <v>0.84075385642093015</v>
      </c>
      <c r="AM443" s="51" t="e">
        <f t="shared" si="367"/>
        <v>#NUM!</v>
      </c>
      <c r="AN443" s="51" t="e">
        <f t="shared" si="388"/>
        <v>#NUM!</v>
      </c>
      <c r="AO443" s="51" t="e">
        <f t="shared" si="389"/>
        <v>#NUM!</v>
      </c>
      <c r="AP443" s="60" t="e">
        <f t="shared" si="390"/>
        <v>#NUM!</v>
      </c>
      <c r="AQ443" s="51" t="e">
        <f t="shared" si="391"/>
        <v>#NUM!</v>
      </c>
      <c r="AR443" s="63" t="e">
        <f t="shared" si="392"/>
        <v>#NUM!</v>
      </c>
      <c r="AS443" s="32" t="str">
        <f t="shared" si="368"/>
        <v>-0.000170731707317073</v>
      </c>
      <c r="AT443" s="32" t="str">
        <f t="shared" si="369"/>
        <v>0.0424583844326229i</v>
      </c>
      <c r="AU443" s="32">
        <f t="shared" si="393"/>
        <v>4.2458384432622898E-2</v>
      </c>
      <c r="AV443" s="32">
        <f t="shared" si="394"/>
        <v>1.5707963267948966</v>
      </c>
      <c r="AW443" s="32" t="str">
        <f t="shared" si="370"/>
        <v>1+9.0397546467906i</v>
      </c>
      <c r="AX443" s="32">
        <f t="shared" si="395"/>
        <v>9.0948976945412774</v>
      </c>
      <c r="AY443" s="32">
        <f t="shared" si="396"/>
        <v>1.4606218121485055</v>
      </c>
      <c r="AZ443" s="32" t="str">
        <f t="shared" si="371"/>
        <v>1+171.755338289022i</v>
      </c>
      <c r="BA443" s="32">
        <f t="shared" si="397"/>
        <v>171.75824938202061</v>
      </c>
      <c r="BB443" s="32">
        <f t="shared" si="398"/>
        <v>1.5649741572442053</v>
      </c>
      <c r="BC443" s="60" t="str">
        <f t="shared" si="399"/>
        <v>-0.00791014109601912+0.0755268888454404i</v>
      </c>
      <c r="BD443" s="51">
        <f t="shared" si="400"/>
        <v>-22.390589897983926</v>
      </c>
      <c r="BE443" s="63">
        <f t="shared" si="401"/>
        <v>95.978948956276284</v>
      </c>
      <c r="BF443" s="60" t="str">
        <f t="shared" si="402"/>
        <v>0.00241607541557759-0.00768832134681401i</v>
      </c>
      <c r="BG443" s="66">
        <f t="shared" si="403"/>
        <v>-41.874361869538667</v>
      </c>
      <c r="BH443" s="63">
        <f t="shared" si="404"/>
        <v>-72.554535338779516</v>
      </c>
      <c r="BI443" s="60" t="e">
        <f t="shared" si="409"/>
        <v>#NUM!</v>
      </c>
      <c r="BJ443" s="66" t="e">
        <f t="shared" si="405"/>
        <v>#NUM!</v>
      </c>
      <c r="BK443" s="63" t="e">
        <f t="shared" si="410"/>
        <v>#NUM!</v>
      </c>
      <c r="BL443" s="51">
        <f t="shared" si="406"/>
        <v>-41.874361869538667</v>
      </c>
      <c r="BM443" s="63">
        <f t="shared" si="407"/>
        <v>-72.554535338779516</v>
      </c>
    </row>
    <row r="444" spans="14:65" x14ac:dyDescent="0.3">
      <c r="N444" s="11">
        <v>26</v>
      </c>
      <c r="O444" s="52">
        <f t="shared" si="408"/>
        <v>181970.08586099857</v>
      </c>
      <c r="P444" s="50" t="str">
        <f t="shared" si="360"/>
        <v>23.3035714285714</v>
      </c>
      <c r="Q444" s="18" t="str">
        <f t="shared" si="361"/>
        <v>1+612.509876693586i</v>
      </c>
      <c r="R444" s="18">
        <f t="shared" si="372"/>
        <v>612.51069300640938</v>
      </c>
      <c r="S444" s="18">
        <f t="shared" si="373"/>
        <v>1.5691637015106978</v>
      </c>
      <c r="T444" s="18" t="str">
        <f t="shared" si="362"/>
        <v>1+1.14335176982803i</v>
      </c>
      <c r="U444" s="18">
        <f t="shared" si="374"/>
        <v>1.5189645386146737</v>
      </c>
      <c r="V444" s="18">
        <f t="shared" si="375"/>
        <v>0.85218075886915512</v>
      </c>
      <c r="W444" s="32" t="str">
        <f t="shared" si="363"/>
        <v>1-2.79485988180185i</v>
      </c>
      <c r="X444" s="18">
        <f t="shared" si="376"/>
        <v>2.9683735881632973</v>
      </c>
      <c r="Y444" s="18">
        <f t="shared" si="377"/>
        <v>-1.2271899768892349</v>
      </c>
      <c r="Z444" s="32" t="str">
        <f t="shared" si="364"/>
        <v>0.867547551406964+1.37170770205693i</v>
      </c>
      <c r="AA444" s="18">
        <f t="shared" si="378"/>
        <v>1.6230282726540908</v>
      </c>
      <c r="AB444" s="18">
        <f t="shared" si="379"/>
        <v>1.0068519009516403</v>
      </c>
      <c r="AC444" s="68" t="str">
        <f t="shared" si="380"/>
        <v>-0.103780265918705-0.0200201200690376i</v>
      </c>
      <c r="AD444" s="66">
        <f t="shared" si="381"/>
        <v>-19.519021632675351</v>
      </c>
      <c r="AE444" s="63">
        <f t="shared" si="382"/>
        <v>-169.08126745199391</v>
      </c>
      <c r="AF444" s="51" t="e">
        <f t="shared" si="383"/>
        <v>#NUM!</v>
      </c>
      <c r="AG444" s="51" t="str">
        <f t="shared" si="365"/>
        <v>1-857.513827371024i</v>
      </c>
      <c r="AH444" s="51">
        <f t="shared" si="384"/>
        <v>857.51441045180252</v>
      </c>
      <c r="AI444" s="51">
        <f t="shared" si="385"/>
        <v>-1.5696301653701241</v>
      </c>
      <c r="AJ444" s="51" t="str">
        <f t="shared" si="366"/>
        <v>1+1.14335176982803i</v>
      </c>
      <c r="AK444" s="51">
        <f t="shared" si="386"/>
        <v>1.5189645386146737</v>
      </c>
      <c r="AL444" s="51">
        <f t="shared" si="387"/>
        <v>0.85218075886915512</v>
      </c>
      <c r="AM444" s="51" t="e">
        <f t="shared" si="367"/>
        <v>#NUM!</v>
      </c>
      <c r="AN444" s="51" t="e">
        <f t="shared" si="388"/>
        <v>#NUM!</v>
      </c>
      <c r="AO444" s="51" t="e">
        <f t="shared" si="389"/>
        <v>#NUM!</v>
      </c>
      <c r="AP444" s="60" t="e">
        <f t="shared" si="390"/>
        <v>#NUM!</v>
      </c>
      <c r="AQ444" s="51" t="e">
        <f t="shared" si="391"/>
        <v>#NUM!</v>
      </c>
      <c r="AR444" s="63" t="e">
        <f t="shared" si="392"/>
        <v>#NUM!</v>
      </c>
      <c r="AS444" s="32" t="str">
        <f t="shared" si="368"/>
        <v>-0.000170731707317073</v>
      </c>
      <c r="AT444" s="32" t="str">
        <f t="shared" si="369"/>
        <v>0.0434473672534653i</v>
      </c>
      <c r="AU444" s="32">
        <f t="shared" si="393"/>
        <v>4.3447367253465298E-2</v>
      </c>
      <c r="AV444" s="32">
        <f t="shared" si="394"/>
        <v>1.5707963267948966</v>
      </c>
      <c r="AW444" s="32" t="str">
        <f t="shared" si="370"/>
        <v>1+9.25031758199813i</v>
      </c>
      <c r="AX444" s="32">
        <f t="shared" si="395"/>
        <v>9.3042127752875334</v>
      </c>
      <c r="AY444" s="32">
        <f t="shared" si="396"/>
        <v>1.4631101246548801</v>
      </c>
      <c r="AZ444" s="32" t="str">
        <f t="shared" si="371"/>
        <v>1+175.756034057965i</v>
      </c>
      <c r="BA444" s="32">
        <f t="shared" si="397"/>
        <v>175.75887888748196</v>
      </c>
      <c r="BB444" s="32">
        <f t="shared" si="398"/>
        <v>1.5651066831098033</v>
      </c>
      <c r="BC444" s="60" t="str">
        <f t="shared" si="399"/>
        <v>-0.00755823863055258+0.0738457291664266i</v>
      </c>
      <c r="BD444" s="51">
        <f t="shared" si="400"/>
        <v>-22.588232831552688</v>
      </c>
      <c r="BE444" s="63">
        <f t="shared" si="401"/>
        <v>95.843972324326487</v>
      </c>
      <c r="BF444" s="60" t="str">
        <f t="shared" si="402"/>
        <v>0.00226279637945327-0.00751241256495832i</v>
      </c>
      <c r="BG444" s="66">
        <f t="shared" si="403"/>
        <v>-42.107254464228035</v>
      </c>
      <c r="BH444" s="63">
        <f t="shared" si="404"/>
        <v>-73.237295127667394</v>
      </c>
      <c r="BI444" s="60" t="e">
        <f t="shared" si="409"/>
        <v>#NUM!</v>
      </c>
      <c r="BJ444" s="66" t="e">
        <f t="shared" si="405"/>
        <v>#NUM!</v>
      </c>
      <c r="BK444" s="63" t="e">
        <f t="shared" si="410"/>
        <v>#NUM!</v>
      </c>
      <c r="BL444" s="51">
        <f t="shared" si="406"/>
        <v>-42.107254464228035</v>
      </c>
      <c r="BM444" s="63">
        <f t="shared" si="407"/>
        <v>-73.237295127667394</v>
      </c>
    </row>
    <row r="445" spans="14:65" x14ac:dyDescent="0.3">
      <c r="N445" s="11">
        <v>27</v>
      </c>
      <c r="O445" s="52">
        <f t="shared" si="408"/>
        <v>186208.71366628664</v>
      </c>
      <c r="P445" s="50" t="str">
        <f t="shared" si="360"/>
        <v>23.3035714285714</v>
      </c>
      <c r="Q445" s="18" t="str">
        <f t="shared" si="361"/>
        <v>1+626.777064523295i</v>
      </c>
      <c r="R445" s="18">
        <f t="shared" si="372"/>
        <v>626.77786225459386</v>
      </c>
      <c r="S445" s="18">
        <f t="shared" si="373"/>
        <v>1.5692008645355038</v>
      </c>
      <c r="T445" s="18" t="str">
        <f t="shared" si="362"/>
        <v>1+1.16998385377682i</v>
      </c>
      <c r="U445" s="18">
        <f t="shared" si="374"/>
        <v>1.5391108530896855</v>
      </c>
      <c r="V445" s="18">
        <f t="shared" si="375"/>
        <v>0.86357268103357865</v>
      </c>
      <c r="W445" s="32" t="str">
        <f t="shared" si="363"/>
        <v>1-2.85996053145445i</v>
      </c>
      <c r="X445" s="18">
        <f t="shared" si="376"/>
        <v>3.0297482142048078</v>
      </c>
      <c r="Y445" s="18">
        <f t="shared" si="377"/>
        <v>-1.234428734231791</v>
      </c>
      <c r="Z445" s="32" t="str">
        <f t="shared" si="364"/>
        <v>0.861305259818988+1.4036588789724i</v>
      </c>
      <c r="AA445" s="18">
        <f t="shared" si="378"/>
        <v>1.6468469871575528</v>
      </c>
      <c r="AB445" s="18">
        <f t="shared" si="379"/>
        <v>1.0204263560695208</v>
      </c>
      <c r="AC445" s="68" t="str">
        <f t="shared" si="380"/>
        <v>-0.103554787599671-0.0189625255941797i</v>
      </c>
      <c r="AD445" s="66">
        <f t="shared" si="381"/>
        <v>-19.553359499384875</v>
      </c>
      <c r="AE445" s="63">
        <f t="shared" si="382"/>
        <v>-169.62319690799828</v>
      </c>
      <c r="AF445" s="51" t="e">
        <f t="shared" si="383"/>
        <v>#NUM!</v>
      </c>
      <c r="AG445" s="51" t="str">
        <f t="shared" si="365"/>
        <v>1-877.487890332617i</v>
      </c>
      <c r="AH445" s="51">
        <f t="shared" si="384"/>
        <v>877.4884601408653</v>
      </c>
      <c r="AI445" s="51">
        <f t="shared" si="385"/>
        <v>-1.5696567104217152</v>
      </c>
      <c r="AJ445" s="51" t="str">
        <f t="shared" si="366"/>
        <v>1+1.16998385377682i</v>
      </c>
      <c r="AK445" s="51">
        <f t="shared" si="386"/>
        <v>1.5391108530896855</v>
      </c>
      <c r="AL445" s="51">
        <f t="shared" si="387"/>
        <v>0.86357268103357865</v>
      </c>
      <c r="AM445" s="51" t="e">
        <f t="shared" si="367"/>
        <v>#NUM!</v>
      </c>
      <c r="AN445" s="51" t="e">
        <f t="shared" si="388"/>
        <v>#NUM!</v>
      </c>
      <c r="AO445" s="51" t="e">
        <f t="shared" si="389"/>
        <v>#NUM!</v>
      </c>
      <c r="AP445" s="60" t="e">
        <f t="shared" si="390"/>
        <v>#NUM!</v>
      </c>
      <c r="AQ445" s="51" t="e">
        <f t="shared" si="391"/>
        <v>#NUM!</v>
      </c>
      <c r="AR445" s="63" t="e">
        <f t="shared" si="392"/>
        <v>#NUM!</v>
      </c>
      <c r="AS445" s="32" t="str">
        <f t="shared" si="368"/>
        <v>-0.000170731707317073</v>
      </c>
      <c r="AT445" s="32" t="str">
        <f t="shared" si="369"/>
        <v>0.0444593864435193i</v>
      </c>
      <c r="AU445" s="32">
        <f t="shared" si="393"/>
        <v>4.4459386443519301E-2</v>
      </c>
      <c r="AV445" s="32">
        <f t="shared" si="394"/>
        <v>1.5707963267948966</v>
      </c>
      <c r="AW445" s="32" t="str">
        <f t="shared" si="370"/>
        <v>1+9.46578515803013i</v>
      </c>
      <c r="AX445" s="32">
        <f t="shared" si="395"/>
        <v>9.5184604142678175</v>
      </c>
      <c r="AY445" s="32">
        <f t="shared" si="396"/>
        <v>1.4655430905031268</v>
      </c>
      <c r="AZ445" s="32" t="str">
        <f t="shared" si="371"/>
        <v>1+179.849918002573i</v>
      </c>
      <c r="BA445" s="32">
        <f t="shared" si="397"/>
        <v>179.85269807687689</v>
      </c>
      <c r="BB445" s="32">
        <f t="shared" si="398"/>
        <v>1.565236192511525</v>
      </c>
      <c r="BC445" s="60" t="str">
        <f t="shared" si="399"/>
        <v>-0.00722181652098292+0.0722003360063016i</v>
      </c>
      <c r="BD445" s="51">
        <f t="shared" si="400"/>
        <v>-22.785980649045143</v>
      </c>
      <c r="BE445" s="63">
        <f t="shared" si="401"/>
        <v>95.711993991648413</v>
      </c>
      <c r="BF445" s="60" t="str">
        <f t="shared" si="402"/>
        <v>0.00211695439534205-0.00733974657914183i</v>
      </c>
      <c r="BG445" s="66">
        <f t="shared" si="403"/>
        <v>-42.339340148430026</v>
      </c>
      <c r="BH445" s="63">
        <f t="shared" si="404"/>
        <v>-73.911202916349879</v>
      </c>
      <c r="BI445" s="60" t="e">
        <f t="shared" si="409"/>
        <v>#NUM!</v>
      </c>
      <c r="BJ445" s="66" t="e">
        <f t="shared" si="405"/>
        <v>#NUM!</v>
      </c>
      <c r="BK445" s="63" t="e">
        <f t="shared" si="410"/>
        <v>#NUM!</v>
      </c>
      <c r="BL445" s="51">
        <f t="shared" si="406"/>
        <v>-42.339340148430026</v>
      </c>
      <c r="BM445" s="63">
        <f t="shared" si="407"/>
        <v>-73.911202916349879</v>
      </c>
    </row>
    <row r="446" spans="14:65" x14ac:dyDescent="0.3">
      <c r="N446" s="11">
        <v>28</v>
      </c>
      <c r="O446" s="52">
        <f t="shared" si="408"/>
        <v>190546.07179632492</v>
      </c>
      <c r="P446" s="50" t="str">
        <f t="shared" si="360"/>
        <v>23.3035714285714</v>
      </c>
      <c r="Q446" s="18" t="str">
        <f t="shared" si="361"/>
        <v>1+641.376577848995i</v>
      </c>
      <c r="R446" s="18">
        <f t="shared" si="372"/>
        <v>641.37735742173493</v>
      </c>
      <c r="S446" s="18">
        <f t="shared" si="373"/>
        <v>1.5692371816308459</v>
      </c>
      <c r="T446" s="18" t="str">
        <f t="shared" si="362"/>
        <v>1+1.19723627865146i</v>
      </c>
      <c r="U446" s="18">
        <f t="shared" si="374"/>
        <v>1.559927789007939</v>
      </c>
      <c r="V446" s="18">
        <f t="shared" si="375"/>
        <v>0.8749238367684441</v>
      </c>
      <c r="W446" s="32" t="str">
        <f t="shared" si="363"/>
        <v>1-2.9265775700369i</v>
      </c>
      <c r="X446" s="18">
        <f t="shared" si="376"/>
        <v>3.0927101825814658</v>
      </c>
      <c r="Y446" s="18">
        <f t="shared" si="377"/>
        <v>-1.2415383023354241</v>
      </c>
      <c r="Z446" s="32" t="str">
        <f t="shared" si="364"/>
        <v>0.854768778091957+1.43635429440512i</v>
      </c>
      <c r="AA446" s="18">
        <f t="shared" si="378"/>
        <v>1.6714494676946854</v>
      </c>
      <c r="AB446" s="18">
        <f t="shared" si="379"/>
        <v>1.0339904688688575</v>
      </c>
      <c r="AC446" s="68" t="str">
        <f t="shared" si="380"/>
        <v>-0.103328975615457-0.0179233908618883i</v>
      </c>
      <c r="AD446" s="66">
        <f t="shared" si="381"/>
        <v>-19.586813430236063</v>
      </c>
      <c r="AE446" s="63">
        <f t="shared" si="382"/>
        <v>-170.15941907082254</v>
      </c>
      <c r="AF446" s="51" t="e">
        <f t="shared" si="383"/>
        <v>#NUM!</v>
      </c>
      <c r="AG446" s="51" t="str">
        <f t="shared" si="365"/>
        <v>1-897.927208988597i</v>
      </c>
      <c r="AH446" s="51">
        <f t="shared" si="384"/>
        <v>897.92776582643421</v>
      </c>
      <c r="AI446" s="51">
        <f t="shared" si="385"/>
        <v>-1.569682651235714</v>
      </c>
      <c r="AJ446" s="51" t="str">
        <f t="shared" si="366"/>
        <v>1+1.19723627865146i</v>
      </c>
      <c r="AK446" s="51">
        <f t="shared" si="386"/>
        <v>1.559927789007939</v>
      </c>
      <c r="AL446" s="51">
        <f t="shared" si="387"/>
        <v>0.8749238367684441</v>
      </c>
      <c r="AM446" s="51" t="e">
        <f t="shared" si="367"/>
        <v>#NUM!</v>
      </c>
      <c r="AN446" s="51" t="e">
        <f t="shared" si="388"/>
        <v>#NUM!</v>
      </c>
      <c r="AO446" s="51" t="e">
        <f t="shared" si="389"/>
        <v>#NUM!</v>
      </c>
      <c r="AP446" s="60" t="e">
        <f t="shared" si="390"/>
        <v>#NUM!</v>
      </c>
      <c r="AQ446" s="51" t="e">
        <f t="shared" si="391"/>
        <v>#NUM!</v>
      </c>
      <c r="AR446" s="63" t="e">
        <f t="shared" si="392"/>
        <v>#NUM!</v>
      </c>
      <c r="AS446" s="32" t="str">
        <f t="shared" si="368"/>
        <v>-0.000170731707317073</v>
      </c>
      <c r="AT446" s="32" t="str">
        <f t="shared" si="369"/>
        <v>0.0454949785887553i</v>
      </c>
      <c r="AU446" s="32">
        <f t="shared" si="393"/>
        <v>4.54949785887553E-2</v>
      </c>
      <c r="AV446" s="32">
        <f t="shared" si="394"/>
        <v>1.5707963267948966</v>
      </c>
      <c r="AW446" s="32" t="str">
        <f t="shared" si="370"/>
        <v>1+9.68627161864748i</v>
      </c>
      <c r="AX446" s="32">
        <f t="shared" si="395"/>
        <v>9.7377542518907134</v>
      </c>
      <c r="AY446" s="32">
        <f t="shared" si="396"/>
        <v>1.4679218844090842</v>
      </c>
      <c r="AZ446" s="32" t="str">
        <f t="shared" si="371"/>
        <v>1+184.039160754303i</v>
      </c>
      <c r="BA446" s="32">
        <f t="shared" si="397"/>
        <v>184.04187754733482</v>
      </c>
      <c r="BB446" s="32">
        <f t="shared" si="398"/>
        <v>1.5653627540995818</v>
      </c>
      <c r="BC446" s="60" t="str">
        <f t="shared" si="399"/>
        <v>-0.00690020901474825+0.0705900581151527i</v>
      </c>
      <c r="BD446" s="51">
        <f t="shared" si="400"/>
        <v>-22.983828734488579</v>
      </c>
      <c r="BE446" s="63">
        <f t="shared" si="401"/>
        <v>95.582950585349735</v>
      </c>
      <c r="BF446" s="60" t="str">
        <f t="shared" si="402"/>
        <v>0.00197820473158777-0.00717032325047425i</v>
      </c>
      <c r="BG446" s="66">
        <f t="shared" si="403"/>
        <v>-42.570642164724639</v>
      </c>
      <c r="BH446" s="63">
        <f t="shared" si="404"/>
        <v>-74.576468485472802</v>
      </c>
      <c r="BI446" s="60" t="e">
        <f t="shared" si="409"/>
        <v>#NUM!</v>
      </c>
      <c r="BJ446" s="66" t="e">
        <f t="shared" si="405"/>
        <v>#NUM!</v>
      </c>
      <c r="BK446" s="63" t="e">
        <f t="shared" si="410"/>
        <v>#NUM!</v>
      </c>
      <c r="BL446" s="51">
        <f t="shared" si="406"/>
        <v>-42.570642164724639</v>
      </c>
      <c r="BM446" s="63">
        <f t="shared" si="407"/>
        <v>-74.576468485472802</v>
      </c>
    </row>
    <row r="447" spans="14:65" x14ac:dyDescent="0.3">
      <c r="N447" s="11">
        <v>29</v>
      </c>
      <c r="O447" s="52">
        <f t="shared" si="408"/>
        <v>194984.45997580473</v>
      </c>
      <c r="P447" s="50" t="str">
        <f t="shared" si="360"/>
        <v>23.3035714285714</v>
      </c>
      <c r="Q447" s="18" t="str">
        <f t="shared" si="361"/>
        <v>1+656.316157525885i</v>
      </c>
      <c r="R447" s="18">
        <f t="shared" si="372"/>
        <v>656.31691935340382</v>
      </c>
      <c r="S447" s="18">
        <f t="shared" si="373"/>
        <v>1.5692726720521453</v>
      </c>
      <c r="T447" s="18" t="str">
        <f t="shared" si="362"/>
        <v>1+1.22512349404832i</v>
      </c>
      <c r="U447" s="18">
        <f t="shared" si="374"/>
        <v>1.581432128062777</v>
      </c>
      <c r="V447" s="18">
        <f t="shared" si="375"/>
        <v>0.8862285447676076</v>
      </c>
      <c r="W447" s="32" t="str">
        <f t="shared" si="363"/>
        <v>1-2.99474631878478i</v>
      </c>
      <c r="X447" s="18">
        <f t="shared" si="376"/>
        <v>3.1572940176478643</v>
      </c>
      <c r="Y447" s="18">
        <f t="shared" si="377"/>
        <v>-1.2485195749831786</v>
      </c>
      <c r="Z447" s="32" t="str">
        <f t="shared" si="364"/>
        <v>0.847924241471776+1.46981128389712i</v>
      </c>
      <c r="AA447" s="18">
        <f t="shared" si="378"/>
        <v>1.6968561310690977</v>
      </c>
      <c r="AB447" s="18">
        <f t="shared" si="379"/>
        <v>1.0475403665656171</v>
      </c>
      <c r="AC447" s="68" t="str">
        <f t="shared" si="380"/>
        <v>-0.10310288085685-0.0169020560892726i</v>
      </c>
      <c r="AD447" s="66">
        <f t="shared" si="381"/>
        <v>-19.619411063622788</v>
      </c>
      <c r="AE447" s="63">
        <f t="shared" si="382"/>
        <v>-170.69008987440105</v>
      </c>
      <c r="AF447" s="51" t="e">
        <f t="shared" si="383"/>
        <v>#NUM!</v>
      </c>
      <c r="AG447" s="51" t="str">
        <f t="shared" si="365"/>
        <v>1-918.842620536242i</v>
      </c>
      <c r="AH447" s="51">
        <f t="shared" si="384"/>
        <v>918.84316469891007</v>
      </c>
      <c r="AI447" s="51">
        <f t="shared" si="385"/>
        <v>-1.569708001566144</v>
      </c>
      <c r="AJ447" s="51" t="str">
        <f t="shared" si="366"/>
        <v>1+1.22512349404832i</v>
      </c>
      <c r="AK447" s="51">
        <f t="shared" si="386"/>
        <v>1.581432128062777</v>
      </c>
      <c r="AL447" s="51">
        <f t="shared" si="387"/>
        <v>0.8862285447676076</v>
      </c>
      <c r="AM447" s="51" t="e">
        <f t="shared" si="367"/>
        <v>#NUM!</v>
      </c>
      <c r="AN447" s="51" t="e">
        <f t="shared" si="388"/>
        <v>#NUM!</v>
      </c>
      <c r="AO447" s="51" t="e">
        <f t="shared" si="389"/>
        <v>#NUM!</v>
      </c>
      <c r="AP447" s="60" t="e">
        <f t="shared" si="390"/>
        <v>#NUM!</v>
      </c>
      <c r="AQ447" s="51" t="e">
        <f t="shared" si="391"/>
        <v>#NUM!</v>
      </c>
      <c r="AR447" s="63" t="e">
        <f t="shared" si="392"/>
        <v>#NUM!</v>
      </c>
      <c r="AS447" s="32" t="str">
        <f t="shared" si="368"/>
        <v>-0.000170731707317073</v>
      </c>
      <c r="AT447" s="32" t="str">
        <f t="shared" si="369"/>
        <v>0.0465546927738363i</v>
      </c>
      <c r="AU447" s="32">
        <f t="shared" si="393"/>
        <v>4.6554692773836302E-2</v>
      </c>
      <c r="AV447" s="32">
        <f t="shared" si="394"/>
        <v>1.5707963267948966</v>
      </c>
      <c r="AW447" s="32" t="str">
        <f t="shared" si="370"/>
        <v>1+9.91189386868987i</v>
      </c>
      <c r="AX447" s="32">
        <f t="shared" si="395"/>
        <v>9.9622106012757943</v>
      </c>
      <c r="AY447" s="32">
        <f t="shared" si="396"/>
        <v>1.4702476598956535</v>
      </c>
      <c r="AZ447" s="32" t="str">
        <f t="shared" si="371"/>
        <v>1+188.325983505108i</v>
      </c>
      <c r="BA447" s="32">
        <f t="shared" si="397"/>
        <v>188.32863845726231</v>
      </c>
      <c r="BB447" s="32">
        <f t="shared" si="398"/>
        <v>1.5654864349623756</v>
      </c>
      <c r="BC447" s="60" t="str">
        <f t="shared" si="399"/>
        <v>-0.00659277766223473+0.069014248628391i</v>
      </c>
      <c r="BD447" s="51">
        <f t="shared" si="400"/>
        <v>-23.181772670607014</v>
      </c>
      <c r="BE447" s="63">
        <f t="shared" si="401"/>
        <v>95.456779857318921</v>
      </c>
      <c r="BF447" s="60" t="str">
        <f t="shared" si="402"/>
        <v>0.00184621707110116-0.00700413635592683i</v>
      </c>
      <c r="BG447" s="66">
        <f t="shared" si="403"/>
        <v>-42.801183734229795</v>
      </c>
      <c r="BH447" s="63">
        <f t="shared" si="404"/>
        <v>-75.233310017082104</v>
      </c>
      <c r="BI447" s="60" t="e">
        <f t="shared" si="409"/>
        <v>#NUM!</v>
      </c>
      <c r="BJ447" s="66" t="e">
        <f t="shared" si="405"/>
        <v>#NUM!</v>
      </c>
      <c r="BK447" s="63" t="e">
        <f t="shared" si="410"/>
        <v>#NUM!</v>
      </c>
      <c r="BL447" s="51">
        <f t="shared" si="406"/>
        <v>-42.801183734229795</v>
      </c>
      <c r="BM447" s="63">
        <f t="shared" si="407"/>
        <v>-75.233310017082104</v>
      </c>
    </row>
    <row r="448" spans="14:65" x14ac:dyDescent="0.3">
      <c r="N448" s="11">
        <v>30</v>
      </c>
      <c r="O448" s="52">
        <f t="shared" si="408"/>
        <v>199526.23149688813</v>
      </c>
      <c r="P448" s="50" t="str">
        <f t="shared" si="360"/>
        <v>23.3035714285714</v>
      </c>
      <c r="Q448" s="18" t="str">
        <f t="shared" si="361"/>
        <v>1+671.60372471687i</v>
      </c>
      <c r="R448" s="18">
        <f t="shared" si="372"/>
        <v>671.60446920309676</v>
      </c>
      <c r="S448" s="18">
        <f t="shared" si="373"/>
        <v>1.5693073546165355</v>
      </c>
      <c r="T448" s="18" t="str">
        <f t="shared" si="362"/>
        <v>1+1.25366028613816i</v>
      </c>
      <c r="U448" s="18">
        <f t="shared" si="374"/>
        <v>1.6036408927936494</v>
      </c>
      <c r="V448" s="18">
        <f t="shared" si="375"/>
        <v>0.89748124207361035</v>
      </c>
      <c r="W448" s="32" t="str">
        <f t="shared" si="363"/>
        <v>1-3.06450292167106i</v>
      </c>
      <c r="X448" s="18">
        <f t="shared" si="376"/>
        <v>3.2235350404378211</v>
      </c>
      <c r="Y448" s="18">
        <f t="shared" si="377"/>
        <v>-1.255373530802685</v>
      </c>
      <c r="Z448" s="32" t="str">
        <f t="shared" si="364"/>
        <v>0.840757131778601+1.5040475867871i</v>
      </c>
      <c r="AA448" s="18">
        <f t="shared" si="378"/>
        <v>1.723087838143105</v>
      </c>
      <c r="AB448" s="18">
        <f t="shared" si="379"/>
        <v>1.0610723667450079</v>
      </c>
      <c r="AC448" s="68" t="str">
        <f t="shared" si="380"/>
        <v>-0.102876541246861-0.0158978646979141i</v>
      </c>
      <c r="AD448" s="66">
        <f t="shared" si="381"/>
        <v>-19.651179845835994</v>
      </c>
      <c r="AE448" s="63">
        <f t="shared" si="382"/>
        <v>-171.21537421526739</v>
      </c>
      <c r="AF448" s="51" t="e">
        <f t="shared" si="383"/>
        <v>#NUM!</v>
      </c>
      <c r="AG448" s="51" t="str">
        <f t="shared" si="365"/>
        <v>1-940.245214603622i</v>
      </c>
      <c r="AH448" s="51">
        <f t="shared" si="384"/>
        <v>940.2457463796427</v>
      </c>
      <c r="AI448" s="51">
        <f t="shared" si="385"/>
        <v>-1.5697327748539553</v>
      </c>
      <c r="AJ448" s="51" t="str">
        <f t="shared" si="366"/>
        <v>1+1.25366028613816i</v>
      </c>
      <c r="AK448" s="51">
        <f t="shared" si="386"/>
        <v>1.6036408927936494</v>
      </c>
      <c r="AL448" s="51">
        <f t="shared" si="387"/>
        <v>0.89748124207361035</v>
      </c>
      <c r="AM448" s="51" t="e">
        <f t="shared" si="367"/>
        <v>#NUM!</v>
      </c>
      <c r="AN448" s="51" t="e">
        <f t="shared" si="388"/>
        <v>#NUM!</v>
      </c>
      <c r="AO448" s="51" t="e">
        <f t="shared" si="389"/>
        <v>#NUM!</v>
      </c>
      <c r="AP448" s="60" t="e">
        <f t="shared" si="390"/>
        <v>#NUM!</v>
      </c>
      <c r="AQ448" s="51" t="e">
        <f t="shared" si="391"/>
        <v>#NUM!</v>
      </c>
      <c r="AR448" s="63" t="e">
        <f t="shared" si="392"/>
        <v>#NUM!</v>
      </c>
      <c r="AS448" s="32" t="str">
        <f t="shared" si="368"/>
        <v>-0.000170731707317073</v>
      </c>
      <c r="AT448" s="32" t="str">
        <f t="shared" si="369"/>
        <v>0.0476390908732501i</v>
      </c>
      <c r="AU448" s="32">
        <f t="shared" si="393"/>
        <v>4.7639090873250099E-2</v>
      </c>
      <c r="AV448" s="32">
        <f t="shared" si="394"/>
        <v>1.5707963267948966</v>
      </c>
      <c r="AW448" s="32" t="str">
        <f t="shared" si="370"/>
        <v>1+10.1427715360609i</v>
      </c>
      <c r="AX448" s="32">
        <f t="shared" si="395"/>
        <v>10.191948510109693</v>
      </c>
      <c r="AY448" s="32">
        <f t="shared" si="396"/>
        <v>1.4725215494194219</v>
      </c>
      <c r="AZ448" s="32" t="str">
        <f t="shared" si="371"/>
        <v>1+192.712659185158i</v>
      </c>
      <c r="BA448" s="32">
        <f t="shared" si="397"/>
        <v>192.71525370404615</v>
      </c>
      <c r="BB448" s="32">
        <f t="shared" si="398"/>
        <v>1.5656073006619928</v>
      </c>
      <c r="BC448" s="60" t="str">
        <f t="shared" si="399"/>
        <v>-0.00629891031384412+0.0674722656176635i</v>
      </c>
      <c r="BD448" s="51">
        <f t="shared" si="400"/>
        <v>-23.37980823065649</v>
      </c>
      <c r="BE448" s="63">
        <f t="shared" si="401"/>
        <v>95.333420679003964</v>
      </c>
      <c r="BF448" s="60" t="str">
        <f t="shared" si="402"/>
        <v>0.0017206750563638-0.00684117409292093i</v>
      </c>
      <c r="BG448" s="66">
        <f t="shared" si="403"/>
        <v>-43.030988076492484</v>
      </c>
      <c r="BH448" s="63">
        <f t="shared" si="404"/>
        <v>-75.881953536263396</v>
      </c>
      <c r="BI448" s="60" t="e">
        <f t="shared" si="409"/>
        <v>#NUM!</v>
      </c>
      <c r="BJ448" s="66" t="e">
        <f t="shared" si="405"/>
        <v>#NUM!</v>
      </c>
      <c r="BK448" s="63" t="e">
        <f t="shared" si="410"/>
        <v>#NUM!</v>
      </c>
      <c r="BL448" s="51">
        <f t="shared" si="406"/>
        <v>-43.030988076492484</v>
      </c>
      <c r="BM448" s="63">
        <f t="shared" si="407"/>
        <v>-75.881953536263396</v>
      </c>
    </row>
    <row r="449" spans="14:65" x14ac:dyDescent="0.3">
      <c r="N449" s="11">
        <v>31</v>
      </c>
      <c r="O449" s="52">
        <f t="shared" si="408"/>
        <v>204173.79446695308</v>
      </c>
      <c r="P449" s="50" t="str">
        <f t="shared" si="360"/>
        <v>23.3035714285714</v>
      </c>
      <c r="Q449" s="18" t="str">
        <f t="shared" si="361"/>
        <v>1+687.247385092424i</v>
      </c>
      <c r="R449" s="18">
        <f t="shared" si="372"/>
        <v>687.24811263209335</v>
      </c>
      <c r="S449" s="18">
        <f t="shared" si="373"/>
        <v>1.569341247712837</v>
      </c>
      <c r="T449" s="18" t="str">
        <f t="shared" si="362"/>
        <v>1+1.28286178550586i</v>
      </c>
      <c r="U449" s="18">
        <f t="shared" si="374"/>
        <v>1.6265713512512396</v>
      </c>
      <c r="V449" s="18">
        <f t="shared" si="375"/>
        <v>0.90867649686505725</v>
      </c>
      <c r="W449" s="32" t="str">
        <f t="shared" si="363"/>
        <v>1-3.13588436456988i</v>
      </c>
      <c r="X449" s="18">
        <f t="shared" si="376"/>
        <v>3.2914693904020798</v>
      </c>
      <c r="Y449" s="18">
        <f t="shared" si="377"/>
        <v>-1.2621012271672714</v>
      </c>
      <c r="Z449" s="32" t="str">
        <f t="shared" si="364"/>
        <v>0.833252246611867+1.53908135561602i</v>
      </c>
      <c r="AA449" s="18">
        <f t="shared" si="378"/>
        <v>1.7501659137603409</v>
      </c>
      <c r="AB449" s="18">
        <f t="shared" si="379"/>
        <v>1.0745829863196299</v>
      </c>
      <c r="AC449" s="68" t="str">
        <f t="shared" si="380"/>
        <v>-0.102649981249565-0.0149101638766453i</v>
      </c>
      <c r="AD449" s="66">
        <f t="shared" si="381"/>
        <v>-19.682147059205505</v>
      </c>
      <c r="AE449" s="63">
        <f t="shared" si="382"/>
        <v>-171.73544538428558</v>
      </c>
      <c r="AF449" s="51" t="e">
        <f t="shared" si="383"/>
        <v>#NUM!</v>
      </c>
      <c r="AG449" s="51" t="str">
        <f t="shared" si="365"/>
        <v>1-962.146339129397i</v>
      </c>
      <c r="AH449" s="51">
        <f t="shared" si="384"/>
        <v>962.1468588007242</v>
      </c>
      <c r="AI449" s="51">
        <f t="shared" si="385"/>
        <v>-1.5697569842341514</v>
      </c>
      <c r="AJ449" s="51" t="str">
        <f t="shared" si="366"/>
        <v>1+1.28286178550586i</v>
      </c>
      <c r="AK449" s="51">
        <f t="shared" si="386"/>
        <v>1.6265713512512396</v>
      </c>
      <c r="AL449" s="51">
        <f t="shared" si="387"/>
        <v>0.90867649686505725</v>
      </c>
      <c r="AM449" s="51" t="e">
        <f t="shared" si="367"/>
        <v>#NUM!</v>
      </c>
      <c r="AN449" s="51" t="e">
        <f t="shared" si="388"/>
        <v>#NUM!</v>
      </c>
      <c r="AO449" s="51" t="e">
        <f t="shared" si="389"/>
        <v>#NUM!</v>
      </c>
      <c r="AP449" s="60" t="e">
        <f t="shared" si="390"/>
        <v>#NUM!</v>
      </c>
      <c r="AQ449" s="51" t="e">
        <f t="shared" si="391"/>
        <v>#NUM!</v>
      </c>
      <c r="AR449" s="63" t="e">
        <f t="shared" si="392"/>
        <v>#NUM!</v>
      </c>
      <c r="AS449" s="32" t="str">
        <f t="shared" si="368"/>
        <v>-0.000170731707317073</v>
      </c>
      <c r="AT449" s="32" t="str">
        <f t="shared" si="369"/>
        <v>0.0487487478492228i</v>
      </c>
      <c r="AU449" s="32">
        <f t="shared" si="393"/>
        <v>4.8748747849222798E-2</v>
      </c>
      <c r="AV449" s="32">
        <f t="shared" si="394"/>
        <v>1.5707963267948966</v>
      </c>
      <c r="AW449" s="32" t="str">
        <f t="shared" si="370"/>
        <v>1+10.3790270351558i</v>
      </c>
      <c r="AX449" s="32">
        <f t="shared" si="395"/>
        <v>10.427089823939133</v>
      </c>
      <c r="AY449" s="32">
        <f t="shared" si="396"/>
        <v>1.4747446645166056</v>
      </c>
      <c r="AZ449" s="32" t="str">
        <f t="shared" si="371"/>
        <v>1+197.201513667961i</v>
      </c>
      <c r="BA449" s="32">
        <f t="shared" si="397"/>
        <v>197.20404912915708</v>
      </c>
      <c r="BB449" s="32">
        <f t="shared" si="398"/>
        <v>1.5657254152688937</v>
      </c>
      <c r="BC449" s="60" t="str">
        <f t="shared" si="399"/>
        <v>-0.00601802014336009+0.0659634725906255i</v>
      </c>
      <c r="BD449" s="51">
        <f t="shared" si="400"/>
        <v>-23.57793137056219</v>
      </c>
      <c r="BE449" s="63">
        <f t="shared" si="401"/>
        <v>95.212813035037797</v>
      </c>
      <c r="BF449" s="60" t="str">
        <f t="shared" si="402"/>
        <v>0.00160127584107424-0.00668141955803345i</v>
      </c>
      <c r="BG449" s="66">
        <f t="shared" si="403"/>
        <v>-43.260078429767702</v>
      </c>
      <c r="BH449" s="63">
        <f t="shared" si="404"/>
        <v>-76.522632349247814</v>
      </c>
      <c r="BI449" s="60" t="e">
        <f t="shared" si="409"/>
        <v>#NUM!</v>
      </c>
      <c r="BJ449" s="66" t="e">
        <f t="shared" si="405"/>
        <v>#NUM!</v>
      </c>
      <c r="BK449" s="63" t="e">
        <f t="shared" si="410"/>
        <v>#NUM!</v>
      </c>
      <c r="BL449" s="51">
        <f t="shared" si="406"/>
        <v>-43.260078429767702</v>
      </c>
      <c r="BM449" s="63">
        <f t="shared" si="407"/>
        <v>-76.522632349247814</v>
      </c>
    </row>
    <row r="450" spans="14:65" x14ac:dyDescent="0.3">
      <c r="N450" s="11">
        <v>32</v>
      </c>
      <c r="O450" s="52">
        <f t="shared" si="408"/>
        <v>208929.61308540447</v>
      </c>
      <c r="P450" s="50" t="str">
        <f t="shared" si="360"/>
        <v>23.3035714285714</v>
      </c>
      <c r="Q450" s="18" t="str">
        <f t="shared" si="361"/>
        <v>1+703.255433128354i</v>
      </c>
      <c r="R450" s="18">
        <f t="shared" si="372"/>
        <v>703.2561441072155</v>
      </c>
      <c r="S450" s="18">
        <f t="shared" si="373"/>
        <v>1.5693743693113067</v>
      </c>
      <c r="T450" s="18" t="str">
        <f t="shared" si="362"/>
        <v>1+1.31274347517293i</v>
      </c>
      <c r="U450" s="18">
        <f t="shared" si="374"/>
        <v>1.6502410222779886</v>
      </c>
      <c r="V450" s="18">
        <f t="shared" si="375"/>
        <v>0.91980902045696422</v>
      </c>
      <c r="W450" s="32" t="str">
        <f t="shared" si="363"/>
        <v>1-3.20892849486716i</v>
      </c>
      <c r="X450" s="18">
        <f t="shared" si="376"/>
        <v>3.3611340474861184</v>
      </c>
      <c r="Y450" s="18">
        <f t="shared" si="377"/>
        <v>-1.2687037942762891</v>
      </c>
      <c r="Z450" s="32" t="str">
        <f t="shared" si="364"/>
        <v>0.825393667103932+1.57493116575184i</v>
      </c>
      <c r="AA450" s="18">
        <f t="shared" si="378"/>
        <v>1.7781121681580514</v>
      </c>
      <c r="AB450" s="18">
        <f t="shared" si="379"/>
        <v>1.0880689494904303</v>
      </c>
      <c r="AC450" s="68" t="str">
        <f t="shared" si="380"/>
        <v>-0.10242321143887-0.0139383051740217i</v>
      </c>
      <c r="AD450" s="66">
        <f t="shared" si="381"/>
        <v>-19.712339850001513</v>
      </c>
      <c r="AE450" s="63">
        <f t="shared" si="382"/>
        <v>-172.25048449659684</v>
      </c>
      <c r="AF450" s="51" t="e">
        <f t="shared" si="383"/>
        <v>#NUM!</v>
      </c>
      <c r="AG450" s="51" t="str">
        <f t="shared" si="365"/>
        <v>1-984.5576063797i</v>
      </c>
      <c r="AH450" s="51">
        <f t="shared" si="384"/>
        <v>984.55811422186969</v>
      </c>
      <c r="AI450" s="51">
        <f t="shared" si="385"/>
        <v>-1.5697806425427525</v>
      </c>
      <c r="AJ450" s="51" t="str">
        <f t="shared" si="366"/>
        <v>1+1.31274347517293i</v>
      </c>
      <c r="AK450" s="51">
        <f t="shared" si="386"/>
        <v>1.6502410222779886</v>
      </c>
      <c r="AL450" s="51">
        <f t="shared" si="387"/>
        <v>0.91980902045696422</v>
      </c>
      <c r="AM450" s="51" t="e">
        <f t="shared" si="367"/>
        <v>#NUM!</v>
      </c>
      <c r="AN450" s="51" t="e">
        <f t="shared" si="388"/>
        <v>#NUM!</v>
      </c>
      <c r="AO450" s="51" t="e">
        <f t="shared" si="389"/>
        <v>#NUM!</v>
      </c>
      <c r="AP450" s="60" t="e">
        <f t="shared" si="390"/>
        <v>#NUM!</v>
      </c>
      <c r="AQ450" s="51" t="e">
        <f t="shared" si="391"/>
        <v>#NUM!</v>
      </c>
      <c r="AR450" s="63" t="e">
        <f t="shared" si="392"/>
        <v>#NUM!</v>
      </c>
      <c r="AS450" s="32" t="str">
        <f t="shared" si="368"/>
        <v>-0.000170731707317073</v>
      </c>
      <c r="AT450" s="32" t="str">
        <f t="shared" si="369"/>
        <v>0.0498842520565713i</v>
      </c>
      <c r="AU450" s="32">
        <f t="shared" si="393"/>
        <v>4.98842520565713E-2</v>
      </c>
      <c r="AV450" s="32">
        <f t="shared" si="394"/>
        <v>1.5707963267948966</v>
      </c>
      <c r="AW450" s="32" t="str">
        <f t="shared" si="370"/>
        <v>1+10.6207856317675i</v>
      </c>
      <c r="AX450" s="32">
        <f t="shared" si="395"/>
        <v>10.667759250937332</v>
      </c>
      <c r="AY450" s="32">
        <f t="shared" si="396"/>
        <v>1.4769180959665731</v>
      </c>
      <c r="AZ450" s="32" t="str">
        <f t="shared" si="371"/>
        <v>1+201.794927003583i</v>
      </c>
      <c r="BA450" s="32">
        <f t="shared" si="397"/>
        <v>201.79740475135301</v>
      </c>
      <c r="BB450" s="32">
        <f t="shared" si="398"/>
        <v>1.5658408413958163</v>
      </c>
      <c r="BC450" s="60" t="str">
        <f t="shared" si="399"/>
        <v>-0.00574954469795793+0.0644872389428205i</v>
      </c>
      <c r="BD450" s="51">
        <f t="shared" si="400"/>
        <v>-23.776138221348347</v>
      </c>
      <c r="BE450" s="63">
        <f t="shared" si="401"/>
        <v>95.09489801581185</v>
      </c>
      <c r="BF450" s="60" t="str">
        <f t="shared" si="402"/>
        <v>0.00148772964849127-0.00652485120073762i</v>
      </c>
      <c r="BG450" s="66">
        <f t="shared" si="403"/>
        <v>-43.488478071349867</v>
      </c>
      <c r="BH450" s="63">
        <f t="shared" si="404"/>
        <v>-77.15558648078499</v>
      </c>
      <c r="BI450" s="60" t="e">
        <f t="shared" si="409"/>
        <v>#NUM!</v>
      </c>
      <c r="BJ450" s="66" t="e">
        <f t="shared" si="405"/>
        <v>#NUM!</v>
      </c>
      <c r="BK450" s="63" t="e">
        <f t="shared" si="410"/>
        <v>#NUM!</v>
      </c>
      <c r="BL450" s="51">
        <f t="shared" si="406"/>
        <v>-43.488478071349867</v>
      </c>
      <c r="BM450" s="63">
        <f t="shared" si="407"/>
        <v>-77.15558648078499</v>
      </c>
    </row>
    <row r="451" spans="14:65" x14ac:dyDescent="0.3">
      <c r="N451" s="11">
        <v>33</v>
      </c>
      <c r="O451" s="52">
        <f t="shared" si="408"/>
        <v>213796.20895022334</v>
      </c>
      <c r="P451" s="50" t="str">
        <f t="shared" si="360"/>
        <v>23.3035714285714</v>
      </c>
      <c r="Q451" s="18" t="str">
        <f t="shared" si="361"/>
        <v>1+719.636356503609i</v>
      </c>
      <c r="R451" s="18">
        <f t="shared" si="372"/>
        <v>719.63705129863172</v>
      </c>
      <c r="S451" s="18">
        <f t="shared" si="373"/>
        <v>1.5694067369731635</v>
      </c>
      <c r="T451" s="18" t="str">
        <f t="shared" si="362"/>
        <v>1+1.34332119880674i</v>
      </c>
      <c r="U451" s="18">
        <f t="shared" si="374"/>
        <v>1.6746676814113231</v>
      </c>
      <c r="V451" s="18">
        <f t="shared" si="375"/>
        <v>0.93087367845703417</v>
      </c>
      <c r="W451" s="32" t="str">
        <f t="shared" si="363"/>
        <v>1-3.28367404152759i</v>
      </c>
      <c r="X451" s="18">
        <f t="shared" si="376"/>
        <v>3.4325668545568249</v>
      </c>
      <c r="Y451" s="18">
        <f t="shared" si="377"/>
        <v>-1.2751824294247847</v>
      </c>
      <c r="Z451" s="32" t="str">
        <f t="shared" si="364"/>
        <v>0.817164724154049+1.61161602523842i</v>
      </c>
      <c r="AA451" s="18">
        <f t="shared" si="378"/>
        <v>1.8069489199219348</v>
      </c>
      <c r="AB451" s="18">
        <f t="shared" si="379"/>
        <v>1.1015271946921497</v>
      </c>
      <c r="AC451" s="68" t="str">
        <f t="shared" si="380"/>
        <v>-0.102196228127268-0.012981645114451i</v>
      </c>
      <c r="AD451" s="66">
        <f t="shared" si="381"/>
        <v>-19.74178525581555</v>
      </c>
      <c r="AE451" s="63">
        <f t="shared" si="382"/>
        <v>-172.76067992257879</v>
      </c>
      <c r="AF451" s="51" t="e">
        <f t="shared" si="383"/>
        <v>#NUM!</v>
      </c>
      <c r="AG451" s="51" t="str">
        <f t="shared" si="365"/>
        <v>1-1007.49089910506i</v>
      </c>
      <c r="AH451" s="51">
        <f t="shared" si="384"/>
        <v>1007.4913953873364</v>
      </c>
      <c r="AI451" s="51">
        <f t="shared" si="385"/>
        <v>-1.5698037623236012</v>
      </c>
      <c r="AJ451" s="51" t="str">
        <f t="shared" si="366"/>
        <v>1+1.34332119880674i</v>
      </c>
      <c r="AK451" s="51">
        <f t="shared" si="386"/>
        <v>1.6746676814113231</v>
      </c>
      <c r="AL451" s="51">
        <f t="shared" si="387"/>
        <v>0.93087367845703417</v>
      </c>
      <c r="AM451" s="51" t="e">
        <f t="shared" si="367"/>
        <v>#NUM!</v>
      </c>
      <c r="AN451" s="51" t="e">
        <f t="shared" si="388"/>
        <v>#NUM!</v>
      </c>
      <c r="AO451" s="51" t="e">
        <f t="shared" si="389"/>
        <v>#NUM!</v>
      </c>
      <c r="AP451" s="60" t="e">
        <f t="shared" si="390"/>
        <v>#NUM!</v>
      </c>
      <c r="AQ451" s="51" t="e">
        <f t="shared" si="391"/>
        <v>#NUM!</v>
      </c>
      <c r="AR451" s="63" t="e">
        <f t="shared" si="392"/>
        <v>#NUM!</v>
      </c>
      <c r="AS451" s="32" t="str">
        <f t="shared" si="368"/>
        <v>-0.000170731707317073</v>
      </c>
      <c r="AT451" s="32" t="str">
        <f t="shared" si="369"/>
        <v>0.0510462055546561i</v>
      </c>
      <c r="AU451" s="32">
        <f t="shared" si="393"/>
        <v>5.1046205554656103E-2</v>
      </c>
      <c r="AV451" s="32">
        <f t="shared" si="394"/>
        <v>1.5707963267948966</v>
      </c>
      <c r="AW451" s="32" t="str">
        <f t="shared" si="370"/>
        <v>1+10.8681755095038i</v>
      </c>
      <c r="AX451" s="32">
        <f t="shared" si="395"/>
        <v>10.914084428177116</v>
      </c>
      <c r="AY451" s="32">
        <f t="shared" si="396"/>
        <v>1.4790429139712835</v>
      </c>
      <c r="AZ451" s="32" t="str">
        <f t="shared" si="371"/>
        <v>1+206.495334680572i</v>
      </c>
      <c r="BA451" s="32">
        <f t="shared" si="397"/>
        <v>206.49775602858602</v>
      </c>
      <c r="BB451" s="32">
        <f t="shared" si="398"/>
        <v>1.5659536402309107</v>
      </c>
      <c r="BC451" s="60" t="str">
        <f t="shared" si="399"/>
        <v>-0.00549294497506795+0.0630429403647381i</v>
      </c>
      <c r="BD451" s="51">
        <f t="shared" si="400"/>
        <v>-23.974425081853482</v>
      </c>
      <c r="BE451" s="63">
        <f t="shared" si="401"/>
        <v>94.979617809093469</v>
      </c>
      <c r="BF451" s="60" t="str">
        <f t="shared" si="402"/>
        <v>0.0013797593365491-0.00637144325302899i</v>
      </c>
      <c r="BG451" s="66">
        <f t="shared" si="403"/>
        <v>-43.716210337669033</v>
      </c>
      <c r="BH451" s="63">
        <f t="shared" si="404"/>
        <v>-77.781062113485362</v>
      </c>
      <c r="BI451" s="60" t="e">
        <f t="shared" si="409"/>
        <v>#NUM!</v>
      </c>
      <c r="BJ451" s="66" t="e">
        <f t="shared" si="405"/>
        <v>#NUM!</v>
      </c>
      <c r="BK451" s="63" t="e">
        <f t="shared" si="410"/>
        <v>#NUM!</v>
      </c>
      <c r="BL451" s="51">
        <f t="shared" si="406"/>
        <v>-43.716210337669033</v>
      </c>
      <c r="BM451" s="63">
        <f t="shared" si="407"/>
        <v>-77.781062113485362</v>
      </c>
    </row>
    <row r="452" spans="14:65" x14ac:dyDescent="0.3">
      <c r="N452" s="11">
        <v>34</v>
      </c>
      <c r="O452" s="52">
        <f t="shared" si="408"/>
        <v>218776.16239495538</v>
      </c>
      <c r="P452" s="50" t="str">
        <f t="shared" si="360"/>
        <v>23.3035714285714</v>
      </c>
      <c r="Q452" s="18" t="str">
        <f t="shared" si="361"/>
        <v>1+736.398840600599i</v>
      </c>
      <c r="R452" s="18">
        <f t="shared" si="372"/>
        <v>736.39951958017082</v>
      </c>
      <c r="S452" s="18">
        <f t="shared" si="373"/>
        <v>1.5694383678598987</v>
      </c>
      <c r="T452" s="18" t="str">
        <f t="shared" si="362"/>
        <v>1+1.37461116912112i</v>
      </c>
      <c r="U452" s="18">
        <f t="shared" si="374"/>
        <v>1.6998693674140177</v>
      </c>
      <c r="V452" s="18">
        <f t="shared" si="375"/>
        <v>0.94186550103002109</v>
      </c>
      <c r="W452" s="32" t="str">
        <f t="shared" si="363"/>
        <v>1-3.3601606356294i</v>
      </c>
      <c r="X452" s="18">
        <f t="shared" si="376"/>
        <v>3.5058065401892002</v>
      </c>
      <c r="Y452" s="18">
        <f t="shared" si="377"/>
        <v>-1.2815383914707836</v>
      </c>
      <c r="Z452" s="32" t="str">
        <f t="shared" si="364"/>
        <v>0.808547963070944+1.64915538487384i</v>
      </c>
      <c r="AA452" s="18">
        <f t="shared" si="378"/>
        <v>1.8366990205378115</v>
      </c>
      <c r="AB452" s="18">
        <f t="shared" si="379"/>
        <v>1.1149548805139105</v>
      </c>
      <c r="AC452" s="68" t="str">
        <f t="shared" si="380"/>
        <v>-0.10196901305393-0.0120395458321658i</v>
      </c>
      <c r="AD452" s="66">
        <f t="shared" si="381"/>
        <v>-19.770510232187892</v>
      </c>
      <c r="AE452" s="63">
        <f t="shared" si="382"/>
        <v>-173.26622672249795</v>
      </c>
      <c r="AF452" s="51" t="e">
        <f t="shared" si="383"/>
        <v>#NUM!</v>
      </c>
      <c r="AG452" s="51" t="str">
        <f t="shared" si="365"/>
        <v>1-1030.95837684084i</v>
      </c>
      <c r="AH452" s="51">
        <f t="shared" si="384"/>
        <v>1030.9588618263581</v>
      </c>
      <c r="AI452" s="51">
        <f t="shared" si="385"/>
        <v>-1.5698263558350121</v>
      </c>
      <c r="AJ452" s="51" t="str">
        <f t="shared" si="366"/>
        <v>1+1.37461116912112i</v>
      </c>
      <c r="AK452" s="51">
        <f t="shared" si="386"/>
        <v>1.6998693674140177</v>
      </c>
      <c r="AL452" s="51">
        <f t="shared" si="387"/>
        <v>0.94186550103002109</v>
      </c>
      <c r="AM452" s="51" t="e">
        <f t="shared" si="367"/>
        <v>#NUM!</v>
      </c>
      <c r="AN452" s="51" t="e">
        <f t="shared" si="388"/>
        <v>#NUM!</v>
      </c>
      <c r="AO452" s="51" t="e">
        <f t="shared" si="389"/>
        <v>#NUM!</v>
      </c>
      <c r="AP452" s="60" t="e">
        <f t="shared" si="390"/>
        <v>#NUM!</v>
      </c>
      <c r="AQ452" s="51" t="e">
        <f t="shared" si="391"/>
        <v>#NUM!</v>
      </c>
      <c r="AR452" s="63" t="e">
        <f t="shared" si="392"/>
        <v>#NUM!</v>
      </c>
      <c r="AS452" s="32" t="str">
        <f t="shared" si="368"/>
        <v>-0.000170731707317073</v>
      </c>
      <c r="AT452" s="32" t="str">
        <f t="shared" si="369"/>
        <v>0.0522352244266025i</v>
      </c>
      <c r="AU452" s="32">
        <f t="shared" si="393"/>
        <v>5.22352244266025E-2</v>
      </c>
      <c r="AV452" s="32">
        <f t="shared" si="394"/>
        <v>1.5707963267948966</v>
      </c>
      <c r="AW452" s="32" t="str">
        <f t="shared" si="370"/>
        <v>1+11.1213278377525i</v>
      </c>
      <c r="AX452" s="32">
        <f t="shared" si="395"/>
        <v>11.166195989448182</v>
      </c>
      <c r="AY452" s="32">
        <f t="shared" si="396"/>
        <v>1.4811201683491086</v>
      </c>
      <c r="AZ452" s="32" t="str">
        <f t="shared" si="371"/>
        <v>1+211.305228917299i</v>
      </c>
      <c r="BA452" s="32">
        <f t="shared" si="397"/>
        <v>211.30759514932757</v>
      </c>
      <c r="BB452" s="32">
        <f t="shared" si="398"/>
        <v>1.5660638715701243</v>
      </c>
      <c r="BC452" s="60" t="str">
        <f t="shared" si="399"/>
        <v>-0.00524770452618335+0.0616299592069713i</v>
      </c>
      <c r="BD452" s="51">
        <f t="shared" si="400"/>
        <v>-24.172788411722795</v>
      </c>
      <c r="BE452" s="63">
        <f t="shared" si="401"/>
        <v>94.866915690776011</v>
      </c>
      <c r="BF452" s="60" t="str">
        <f t="shared" si="402"/>
        <v>0.0012770999698404-0.00622116613573218i</v>
      </c>
      <c r="BG452" s="66">
        <f t="shared" si="403"/>
        <v>-43.94329864391068</v>
      </c>
      <c r="BH452" s="63">
        <f t="shared" si="404"/>
        <v>-78.399311031721922</v>
      </c>
      <c r="BI452" s="60" t="e">
        <f t="shared" si="409"/>
        <v>#NUM!</v>
      </c>
      <c r="BJ452" s="66" t="e">
        <f t="shared" si="405"/>
        <v>#NUM!</v>
      </c>
      <c r="BK452" s="63" t="e">
        <f t="shared" si="410"/>
        <v>#NUM!</v>
      </c>
      <c r="BL452" s="51">
        <f t="shared" si="406"/>
        <v>-43.94329864391068</v>
      </c>
      <c r="BM452" s="63">
        <f t="shared" si="407"/>
        <v>-78.399311031721922</v>
      </c>
    </row>
    <row r="453" spans="14:65" x14ac:dyDescent="0.3">
      <c r="N453" s="11">
        <v>35</v>
      </c>
      <c r="O453" s="52">
        <f t="shared" si="408"/>
        <v>223872.11385683404</v>
      </c>
      <c r="P453" s="50" t="str">
        <f t="shared" si="360"/>
        <v>23.3035714285714</v>
      </c>
      <c r="Q453" s="18" t="str">
        <f t="shared" si="361"/>
        <v>1+753.551773110267i</v>
      </c>
      <c r="R453" s="18">
        <f t="shared" si="372"/>
        <v>753.55243663439069</v>
      </c>
      <c r="S453" s="18">
        <f t="shared" si="373"/>
        <v>1.5694692787423739</v>
      </c>
      <c r="T453" s="18" t="str">
        <f t="shared" si="362"/>
        <v>1+1.4066299764725i</v>
      </c>
      <c r="U453" s="18">
        <f t="shared" si="374"/>
        <v>1.7258643894324452</v>
      </c>
      <c r="V453" s="18">
        <f t="shared" si="375"/>
        <v>0.95277969223132397</v>
      </c>
      <c r="W453" s="32" t="str">
        <f t="shared" si="363"/>
        <v>1-3.43842883137722i</v>
      </c>
      <c r="X453" s="18">
        <f t="shared" si="376"/>
        <v>3.5808927418237642</v>
      </c>
      <c r="Y453" s="18">
        <f t="shared" si="377"/>
        <v>-1.287772995506465</v>
      </c>
      <c r="Z453" s="32" t="str">
        <f t="shared" si="364"/>
        <v>0.799525106549089+1.68756914852347i</v>
      </c>
      <c r="AA453" s="18">
        <f t="shared" si="378"/>
        <v>1.8673858805963384</v>
      </c>
      <c r="AB453" s="18">
        <f t="shared" si="379"/>
        <v>1.1283493905939936</v>
      </c>
      <c r="AC453" s="68" t="str">
        <f t="shared" si="380"/>
        <v>-0.101741533130929-0.0111113757175552i</v>
      </c>
      <c r="AD453" s="66">
        <f t="shared" si="381"/>
        <v>-19.798541678289773</v>
      </c>
      <c r="AE453" s="63">
        <f t="shared" si="382"/>
        <v>-173.76732608738536</v>
      </c>
      <c r="AF453" s="51" t="e">
        <f t="shared" si="383"/>
        <v>#NUM!</v>
      </c>
      <c r="AG453" s="51" t="str">
        <f t="shared" si="365"/>
        <v>1-1054.97248235438i</v>
      </c>
      <c r="AH453" s="51">
        <f t="shared" si="384"/>
        <v>1054.9729563002847</v>
      </c>
      <c r="AI453" s="51">
        <f t="shared" si="385"/>
        <v>-1.5698484350562716</v>
      </c>
      <c r="AJ453" s="51" t="str">
        <f t="shared" si="366"/>
        <v>1+1.4066299764725i</v>
      </c>
      <c r="AK453" s="51">
        <f t="shared" si="386"/>
        <v>1.7258643894324452</v>
      </c>
      <c r="AL453" s="51">
        <f t="shared" si="387"/>
        <v>0.95277969223132397</v>
      </c>
      <c r="AM453" s="51" t="e">
        <f t="shared" si="367"/>
        <v>#NUM!</v>
      </c>
      <c r="AN453" s="51" t="e">
        <f t="shared" si="388"/>
        <v>#NUM!</v>
      </c>
      <c r="AO453" s="51" t="e">
        <f t="shared" si="389"/>
        <v>#NUM!</v>
      </c>
      <c r="AP453" s="60" t="e">
        <f t="shared" si="390"/>
        <v>#NUM!</v>
      </c>
      <c r="AQ453" s="51" t="e">
        <f t="shared" si="391"/>
        <v>#NUM!</v>
      </c>
      <c r="AR453" s="63" t="e">
        <f t="shared" si="392"/>
        <v>#NUM!</v>
      </c>
      <c r="AS453" s="32" t="str">
        <f t="shared" si="368"/>
        <v>-0.000170731707317073</v>
      </c>
      <c r="AT453" s="32" t="str">
        <f t="shared" si="369"/>
        <v>0.0534519391059548i</v>
      </c>
      <c r="AU453" s="32">
        <f t="shared" si="393"/>
        <v>5.3451939105954797E-2</v>
      </c>
      <c r="AV453" s="32">
        <f t="shared" si="394"/>
        <v>1.5707963267948966</v>
      </c>
      <c r="AW453" s="32" t="str">
        <f t="shared" si="370"/>
        <v>1+11.3803768412291i</v>
      </c>
      <c r="AX453" s="32">
        <f t="shared" si="395"/>
        <v>11.424227634653629</v>
      </c>
      <c r="AY453" s="32">
        <f t="shared" si="396"/>
        <v>1.4831508887415856</v>
      </c>
      <c r="AZ453" s="32" t="str">
        <f t="shared" si="371"/>
        <v>1+216.227159983353i</v>
      </c>
      <c r="BA453" s="32">
        <f t="shared" si="397"/>
        <v>216.22947235394747</v>
      </c>
      <c r="BB453" s="32">
        <f t="shared" si="398"/>
        <v>1.566171593848851</v>
      </c>
      <c r="BC453" s="60" t="str">
        <f t="shared" si="399"/>
        <v>-0.00501332858759864+0.060247684806242i</v>
      </c>
      <c r="BD453" s="51">
        <f t="shared" si="400"/>
        <v>-24.371224824669348</v>
      </c>
      <c r="BE453" s="63">
        <f t="shared" si="401"/>
        <v>94.75673601484651</v>
      </c>
      <c r="BF453" s="60" t="str">
        <f t="shared" si="402"/>
        <v>0.0011794983985864-0.00607398684224367i</v>
      </c>
      <c r="BG453" s="66">
        <f t="shared" si="403"/>
        <v>-44.169766502959121</v>
      </c>
      <c r="BH453" s="63">
        <f t="shared" si="404"/>
        <v>-79.010590072538818</v>
      </c>
      <c r="BI453" s="60" t="e">
        <f t="shared" si="409"/>
        <v>#NUM!</v>
      </c>
      <c r="BJ453" s="66" t="e">
        <f t="shared" si="405"/>
        <v>#NUM!</v>
      </c>
      <c r="BK453" s="63" t="e">
        <f t="shared" si="410"/>
        <v>#NUM!</v>
      </c>
      <c r="BL453" s="51">
        <f t="shared" si="406"/>
        <v>-44.169766502959121</v>
      </c>
      <c r="BM453" s="63">
        <f t="shared" si="407"/>
        <v>-79.010590072538818</v>
      </c>
    </row>
    <row r="454" spans="14:65" x14ac:dyDescent="0.3">
      <c r="N454" s="11">
        <v>36</v>
      </c>
      <c r="O454" s="52">
        <f t="shared" si="408"/>
        <v>229086.76527677779</v>
      </c>
      <c r="P454" s="50" t="str">
        <f t="shared" si="360"/>
        <v>23.3035714285714</v>
      </c>
      <c r="Q454" s="18" t="str">
        <f t="shared" si="361"/>
        <v>1+771.104248744472i</v>
      </c>
      <c r="R454" s="18">
        <f t="shared" si="372"/>
        <v>771.10489716495545</v>
      </c>
      <c r="S454" s="18">
        <f t="shared" si="373"/>
        <v>1.5694994860097116</v>
      </c>
      <c r="T454" s="18" t="str">
        <f t="shared" si="362"/>
        <v>1+1.43939459765635i</v>
      </c>
      <c r="U454" s="18">
        <f t="shared" si="374"/>
        <v>1.7526713347807927</v>
      </c>
      <c r="V454" s="18">
        <f t="shared" si="375"/>
        <v>0.96361163838045227</v>
      </c>
      <c r="W454" s="32" t="str">
        <f t="shared" si="363"/>
        <v>1-3.51852012760441i</v>
      </c>
      <c r="X454" s="18">
        <f t="shared" si="376"/>
        <v>3.6578660293068901</v>
      </c>
      <c r="Y454" s="18">
        <f t="shared" si="377"/>
        <v>-1.2938876077378638</v>
      </c>
      <c r="Z454" s="32" t="str">
        <f t="shared" si="364"/>
        <v>0.790077015900089+1.72687768367326i</v>
      </c>
      <c r="AA454" s="18">
        <f t="shared" si="378"/>
        <v>1.8990334977093777</v>
      </c>
      <c r="AB454" s="18">
        <f t="shared" si="379"/>
        <v>1.1417083374959354</v>
      </c>
      <c r="AC454" s="68" t="str">
        <f t="shared" si="380"/>
        <v>-0.10151374024576-0.0101965100707423i</v>
      </c>
      <c r="AD454" s="66">
        <f t="shared" si="381"/>
        <v>-19.825906461517739</v>
      </c>
      <c r="AE454" s="63">
        <f t="shared" si="382"/>
        <v>-174.2641847884951</v>
      </c>
      <c r="AF454" s="51" t="e">
        <f t="shared" si="383"/>
        <v>#NUM!</v>
      </c>
      <c r="AG454" s="51" t="str">
        <f t="shared" si="365"/>
        <v>1-1079.54594824227i</v>
      </c>
      <c r="AH454" s="51">
        <f t="shared" si="384"/>
        <v>1079.5464113998535</v>
      </c>
      <c r="AI454" s="51">
        <f t="shared" si="385"/>
        <v>-1.5698700116939894</v>
      </c>
      <c r="AJ454" s="51" t="str">
        <f t="shared" si="366"/>
        <v>1+1.43939459765635i</v>
      </c>
      <c r="AK454" s="51">
        <f t="shared" si="386"/>
        <v>1.7526713347807927</v>
      </c>
      <c r="AL454" s="51">
        <f t="shared" si="387"/>
        <v>0.96361163838045227</v>
      </c>
      <c r="AM454" s="51" t="e">
        <f t="shared" si="367"/>
        <v>#NUM!</v>
      </c>
      <c r="AN454" s="51" t="e">
        <f t="shared" si="388"/>
        <v>#NUM!</v>
      </c>
      <c r="AO454" s="51" t="e">
        <f t="shared" si="389"/>
        <v>#NUM!</v>
      </c>
      <c r="AP454" s="60" t="e">
        <f t="shared" si="390"/>
        <v>#NUM!</v>
      </c>
      <c r="AQ454" s="51" t="e">
        <f t="shared" si="391"/>
        <v>#NUM!</v>
      </c>
      <c r="AR454" s="63" t="e">
        <f t="shared" si="392"/>
        <v>#NUM!</v>
      </c>
      <c r="AS454" s="32" t="str">
        <f t="shared" si="368"/>
        <v>-0.000170731707317073</v>
      </c>
      <c r="AT454" s="32" t="str">
        <f t="shared" si="369"/>
        <v>0.0546969947109413i</v>
      </c>
      <c r="AU454" s="32">
        <f t="shared" si="393"/>
        <v>5.4696994710941298E-2</v>
      </c>
      <c r="AV454" s="32">
        <f t="shared" si="394"/>
        <v>1.5707963267948966</v>
      </c>
      <c r="AW454" s="32" t="str">
        <f t="shared" si="370"/>
        <v>1+11.6454598711439i</v>
      </c>
      <c r="AX454" s="32">
        <f t="shared" si="395"/>
        <v>11.688316200823063</v>
      </c>
      <c r="AY454" s="32">
        <f t="shared" si="396"/>
        <v>1.4851360848317487</v>
      </c>
      <c r="AZ454" s="32" t="str">
        <f t="shared" si="371"/>
        <v>1+221.263737551734i</v>
      </c>
      <c r="BA454" s="32">
        <f t="shared" si="397"/>
        <v>221.26599728689138</v>
      </c>
      <c r="BB454" s="32">
        <f t="shared" si="398"/>
        <v>1.5662768641728626</v>
      </c>
      <c r="BC454" s="60" t="str">
        <f t="shared" si="399"/>
        <v>-0.00478934323796963+0.0588955137749216i</v>
      </c>
      <c r="BD454" s="51">
        <f t="shared" si="400"/>
        <v>-24.569731081995336</v>
      </c>
      <c r="BE454" s="63">
        <f t="shared" si="401"/>
        <v>94.649024202648121</v>
      </c>
      <c r="BF454" s="60" t="str">
        <f t="shared" si="402"/>
        <v>0.00108671284473457-0.00592986930042977i</v>
      </c>
      <c r="BG454" s="66">
        <f t="shared" si="403"/>
        <v>-44.395637543513075</v>
      </c>
      <c r="BH454" s="63">
        <f t="shared" si="404"/>
        <v>-79.615160585846937</v>
      </c>
      <c r="BI454" s="60" t="e">
        <f t="shared" si="409"/>
        <v>#NUM!</v>
      </c>
      <c r="BJ454" s="66" t="e">
        <f t="shared" si="405"/>
        <v>#NUM!</v>
      </c>
      <c r="BK454" s="63" t="e">
        <f t="shared" si="410"/>
        <v>#NUM!</v>
      </c>
      <c r="BL454" s="51">
        <f t="shared" si="406"/>
        <v>-44.395637543513075</v>
      </c>
      <c r="BM454" s="63">
        <f t="shared" si="407"/>
        <v>-79.615160585846937</v>
      </c>
    </row>
    <row r="455" spans="14:65" x14ac:dyDescent="0.3">
      <c r="N455" s="11">
        <v>37</v>
      </c>
      <c r="O455" s="52">
        <f t="shared" si="408"/>
        <v>234422.88153199267</v>
      </c>
      <c r="P455" s="50" t="str">
        <f t="shared" si="360"/>
        <v>23.3035714285714</v>
      </c>
      <c r="Q455" s="18" t="str">
        <f t="shared" si="361"/>
        <v>1+789.065574058134i</v>
      </c>
      <c r="R455" s="18">
        <f t="shared" si="372"/>
        <v>789.06620771877715</v>
      </c>
      <c r="S455" s="18">
        <f t="shared" si="373"/>
        <v>1.5695290056779845</v>
      </c>
      <c r="T455" s="18" t="str">
        <f t="shared" si="362"/>
        <v>1+1.47292240490852i</v>
      </c>
      <c r="U455" s="18">
        <f t="shared" si="374"/>
        <v>1.780309077346262</v>
      </c>
      <c r="V455" s="18">
        <f t="shared" si="375"/>
        <v>0.97435691545417047</v>
      </c>
      <c r="W455" s="32" t="str">
        <f t="shared" si="363"/>
        <v>1-3.60047698977638i</v>
      </c>
      <c r="X455" s="18">
        <f t="shared" si="376"/>
        <v>3.7367679288268865</v>
      </c>
      <c r="Y455" s="18">
        <f t="shared" si="377"/>
        <v>-1.2998836405761627</v>
      </c>
      <c r="Z455" s="32" t="str">
        <f t="shared" si="364"/>
        <v>0.780183650456948+1.76710183222887i</v>
      </c>
      <c r="AA455" s="18">
        <f t="shared" si="378"/>
        <v>1.9316664861996646</v>
      </c>
      <c r="AB455" s="18">
        <f t="shared" si="379"/>
        <v>1.1550295655805392</v>
      </c>
      <c r="AC455" s="68" t="str">
        <f t="shared" si="380"/>
        <v>-0.101285571117879-0.0092943317577487i</v>
      </c>
      <c r="AD455" s="66">
        <f t="shared" si="381"/>
        <v>-19.852631440895962</v>
      </c>
      <c r="AE455" s="63">
        <f t="shared" si="382"/>
        <v>-174.75701463751241</v>
      </c>
      <c r="AF455" s="51" t="e">
        <f t="shared" si="383"/>
        <v>#NUM!</v>
      </c>
      <c r="AG455" s="51" t="str">
        <f t="shared" si="365"/>
        <v>1-1104.69180368139i</v>
      </c>
      <c r="AH455" s="51">
        <f t="shared" si="384"/>
        <v>1104.6922562962241</v>
      </c>
      <c r="AI455" s="51">
        <f t="shared" si="385"/>
        <v>-1.5698910971883036</v>
      </c>
      <c r="AJ455" s="51" t="str">
        <f t="shared" si="366"/>
        <v>1+1.47292240490852i</v>
      </c>
      <c r="AK455" s="51">
        <f t="shared" si="386"/>
        <v>1.780309077346262</v>
      </c>
      <c r="AL455" s="51">
        <f t="shared" si="387"/>
        <v>0.97435691545417047</v>
      </c>
      <c r="AM455" s="51" t="e">
        <f t="shared" si="367"/>
        <v>#NUM!</v>
      </c>
      <c r="AN455" s="51" t="e">
        <f t="shared" si="388"/>
        <v>#NUM!</v>
      </c>
      <c r="AO455" s="51" t="e">
        <f t="shared" si="389"/>
        <v>#NUM!</v>
      </c>
      <c r="AP455" s="60" t="e">
        <f t="shared" si="390"/>
        <v>#NUM!</v>
      </c>
      <c r="AQ455" s="51" t="e">
        <f t="shared" si="391"/>
        <v>#NUM!</v>
      </c>
      <c r="AR455" s="63" t="e">
        <f t="shared" si="392"/>
        <v>#NUM!</v>
      </c>
      <c r="AS455" s="32" t="str">
        <f t="shared" si="368"/>
        <v>-0.000170731707317073</v>
      </c>
      <c r="AT455" s="32" t="str">
        <f t="shared" si="369"/>
        <v>0.0559710513865237i</v>
      </c>
      <c r="AU455" s="32">
        <f t="shared" si="393"/>
        <v>5.5971051386523703E-2</v>
      </c>
      <c r="AV455" s="32">
        <f t="shared" si="394"/>
        <v>1.5707963267948966</v>
      </c>
      <c r="AW455" s="32" t="str">
        <f t="shared" si="370"/>
        <v>1+11.9167174780283i</v>
      </c>
      <c r="AX455" s="32">
        <f t="shared" si="395"/>
        <v>11.958601734782588</v>
      </c>
      <c r="AY455" s="32">
        <f t="shared" si="396"/>
        <v>1.4870767465728021</v>
      </c>
      <c r="AZ455" s="32" t="str">
        <f t="shared" si="371"/>
        <v>1+226.417632082538i</v>
      </c>
      <c r="BA455" s="32">
        <f t="shared" si="397"/>
        <v>226.41984038035079</v>
      </c>
      <c r="BB455" s="32">
        <f t="shared" si="398"/>
        <v>1.5663797383485405</v>
      </c>
      <c r="BC455" s="60" t="str">
        <f t="shared" si="399"/>
        <v>-0.00457529458250225+0.0575728502565153i</v>
      </c>
      <c r="BD455" s="51">
        <f t="shared" si="400"/>
        <v>-24.768304086366651</v>
      </c>
      <c r="BE455" s="63">
        <f t="shared" si="401"/>
        <v>94.543726731510475</v>
      </c>
      <c r="BF455" s="60" t="str">
        <f t="shared" si="402"/>
        <v>0.000998512495344519-0.00578877471337607i</v>
      </c>
      <c r="BG455" s="66">
        <f t="shared" si="403"/>
        <v>-44.620935527262603</v>
      </c>
      <c r="BH455" s="63">
        <f t="shared" si="404"/>
        <v>-80.213287906001938</v>
      </c>
      <c r="BI455" s="60" t="e">
        <f t="shared" si="409"/>
        <v>#NUM!</v>
      </c>
      <c r="BJ455" s="66" t="e">
        <f t="shared" si="405"/>
        <v>#NUM!</v>
      </c>
      <c r="BK455" s="63" t="e">
        <f t="shared" si="410"/>
        <v>#NUM!</v>
      </c>
      <c r="BL455" s="51">
        <f t="shared" si="406"/>
        <v>-44.620935527262603</v>
      </c>
      <c r="BM455" s="63">
        <f t="shared" si="407"/>
        <v>-80.213287906001938</v>
      </c>
    </row>
    <row r="456" spans="14:65" x14ac:dyDescent="0.3">
      <c r="N456" s="11">
        <v>38</v>
      </c>
      <c r="O456" s="52">
        <f t="shared" si="408"/>
        <v>239883.29190194907</v>
      </c>
      <c r="P456" s="50" t="str">
        <f t="shared" si="360"/>
        <v>23.3035714285714</v>
      </c>
      <c r="Q456" s="18" t="str">
        <f t="shared" si="361"/>
        <v>1+807.445272383677i</v>
      </c>
      <c r="R456" s="18">
        <f t="shared" si="372"/>
        <v>807.44589162045429</v>
      </c>
      <c r="S456" s="18">
        <f t="shared" si="373"/>
        <v>1.5695578533987051</v>
      </c>
      <c r="T456" s="18" t="str">
        <f t="shared" si="362"/>
        <v>1+1.5072311751162i</v>
      </c>
      <c r="U456" s="18">
        <f t="shared" si="374"/>
        <v>1.80879678660765</v>
      </c>
      <c r="V456" s="18">
        <f t="shared" si="375"/>
        <v>0.98501129548824573</v>
      </c>
      <c r="W456" s="32" t="str">
        <f t="shared" si="363"/>
        <v>1-3.68434287250627i</v>
      </c>
      <c r="X456" s="18">
        <f t="shared" si="376"/>
        <v>3.8176409472588895</v>
      </c>
      <c r="Y456" s="18">
        <f t="shared" si="377"/>
        <v>-1.3057625479421699</v>
      </c>
      <c r="Z456" s="32" t="str">
        <f t="shared" si="364"/>
        <v>0.769824025065136+1.80826292156628i</v>
      </c>
      <c r="AA456" s="18">
        <f t="shared" si="378"/>
        <v>1.9653101086288918</v>
      </c>
      <c r="AB456" s="18">
        <f t="shared" si="379"/>
        <v>1.1683111528952201</v>
      </c>
      <c r="AC456" s="68" t="str">
        <f t="shared" si="380"/>
        <v>-0.101056947206563-0.00840423186508227i</v>
      </c>
      <c r="AD456" s="66">
        <f t="shared" si="381"/>
        <v>-19.87874348922254</v>
      </c>
      <c r="AE456" s="63">
        <f t="shared" si="382"/>
        <v>-175.24603195946347</v>
      </c>
      <c r="AF456" s="51" t="e">
        <f t="shared" si="383"/>
        <v>#NUM!</v>
      </c>
      <c r="AG456" s="51" t="str">
        <f t="shared" si="365"/>
        <v>1-1130.42338133715i</v>
      </c>
      <c r="AH456" s="51">
        <f t="shared" si="384"/>
        <v>1130.423823649217</v>
      </c>
      <c r="AI456" s="51">
        <f t="shared" si="385"/>
        <v>-1.5699117027189475</v>
      </c>
      <c r="AJ456" s="51" t="str">
        <f t="shared" si="366"/>
        <v>1+1.5072311751162i</v>
      </c>
      <c r="AK456" s="51">
        <f t="shared" si="386"/>
        <v>1.80879678660765</v>
      </c>
      <c r="AL456" s="51">
        <f t="shared" si="387"/>
        <v>0.98501129548824573</v>
      </c>
      <c r="AM456" s="51" t="e">
        <f t="shared" si="367"/>
        <v>#NUM!</v>
      </c>
      <c r="AN456" s="51" t="e">
        <f t="shared" si="388"/>
        <v>#NUM!</v>
      </c>
      <c r="AO456" s="51" t="e">
        <f t="shared" si="389"/>
        <v>#NUM!</v>
      </c>
      <c r="AP456" s="60" t="e">
        <f t="shared" si="390"/>
        <v>#NUM!</v>
      </c>
      <c r="AQ456" s="51" t="e">
        <f t="shared" si="391"/>
        <v>#NUM!</v>
      </c>
      <c r="AR456" s="63" t="e">
        <f t="shared" si="392"/>
        <v>#NUM!</v>
      </c>
      <c r="AS456" s="32" t="str">
        <f t="shared" si="368"/>
        <v>-0.000170731707317073</v>
      </c>
      <c r="AT456" s="32" t="str">
        <f t="shared" si="369"/>
        <v>0.0572747846544155i</v>
      </c>
      <c r="AU456" s="32">
        <f t="shared" si="393"/>
        <v>5.7274784654415503E-2</v>
      </c>
      <c r="AV456" s="32">
        <f t="shared" si="394"/>
        <v>1.5707963267948966</v>
      </c>
      <c r="AW456" s="32" t="str">
        <f t="shared" si="370"/>
        <v>1+12.1942934862559i</v>
      </c>
      <c r="AX456" s="32">
        <f t="shared" si="395"/>
        <v>12.235227567517619</v>
      </c>
      <c r="AY456" s="32">
        <f t="shared" si="396"/>
        <v>1.4889738444259333</v>
      </c>
      <c r="AZ456" s="32" t="str">
        <f t="shared" si="371"/>
        <v>1+231.691576238862i</v>
      </c>
      <c r="BA456" s="32">
        <f t="shared" si="397"/>
        <v>231.6937342701533</v>
      </c>
      <c r="BB456" s="32">
        <f t="shared" si="398"/>
        <v>1.5664802709124195</v>
      </c>
      <c r="BC456" s="60" t="str">
        <f t="shared" si="399"/>
        <v>-0.0043707479635082+0.0562791061494642i</v>
      </c>
      <c r="BD456" s="51">
        <f t="shared" si="400"/>
        <v>-24.966940875831497</v>
      </c>
      <c r="BE456" s="63">
        <f t="shared" si="401"/>
        <v>94.44079112281662</v>
      </c>
      <c r="BF456" s="60" t="str">
        <f t="shared" si="402"/>
        <v>0.000914677103441116-0.0056506618796698i</v>
      </c>
      <c r="BG456" s="66">
        <f t="shared" si="403"/>
        <v>-44.845684365054041</v>
      </c>
      <c r="BH456" s="63">
        <f t="shared" si="404"/>
        <v>-80.805240836646831</v>
      </c>
      <c r="BI456" s="60" t="e">
        <f t="shared" si="409"/>
        <v>#NUM!</v>
      </c>
      <c r="BJ456" s="66" t="e">
        <f t="shared" si="405"/>
        <v>#NUM!</v>
      </c>
      <c r="BK456" s="63" t="e">
        <f t="shared" si="410"/>
        <v>#NUM!</v>
      </c>
      <c r="BL456" s="51">
        <f t="shared" si="406"/>
        <v>-44.845684365054041</v>
      </c>
      <c r="BM456" s="63">
        <f t="shared" si="407"/>
        <v>-80.805240836646831</v>
      </c>
    </row>
    <row r="457" spans="14:65" x14ac:dyDescent="0.3">
      <c r="N457" s="11">
        <v>39</v>
      </c>
      <c r="O457" s="52">
        <f t="shared" si="408"/>
        <v>245470.89156850305</v>
      </c>
      <c r="P457" s="50" t="str">
        <f t="shared" si="360"/>
        <v>23.3035714285714</v>
      </c>
      <c r="Q457" s="18" t="str">
        <f t="shared" si="361"/>
        <v>1+826.25308888044i</v>
      </c>
      <c r="R457" s="18">
        <f t="shared" si="372"/>
        <v>826.25369402167769</v>
      </c>
      <c r="S457" s="18">
        <f t="shared" si="373"/>
        <v>1.5695860444671248</v>
      </c>
      <c r="T457" s="18" t="str">
        <f t="shared" si="362"/>
        <v>1+1.54233909924349i</v>
      </c>
      <c r="U457" s="18">
        <f t="shared" si="374"/>
        <v>1.8381539372574922</v>
      </c>
      <c r="V457" s="18">
        <f t="shared" si="375"/>
        <v>0.9955707519855812</v>
      </c>
      <c r="W457" s="32" t="str">
        <f t="shared" si="363"/>
        <v>1-3.7701622425952i</v>
      </c>
      <c r="X457" s="18">
        <f t="shared" si="376"/>
        <v>3.9005285969327885</v>
      </c>
      <c r="Y457" s="18">
        <f t="shared" si="377"/>
        <v>-1.3115258207843608</v>
      </c>
      <c r="Z457" s="32" t="str">
        <f t="shared" si="364"/>
        <v>0.758976165570257+1.8503827758399i</v>
      </c>
      <c r="AA457" s="18">
        <f t="shared" si="378"/>
        <v>1.9999903092336986</v>
      </c>
      <c r="AB457" s="18">
        <f t="shared" si="379"/>
        <v>1.1815514121083628</v>
      </c>
      <c r="AC457" s="68" t="str">
        <f t="shared" si="380"/>
        <v>-0.100827774667016-0.00752561034908676i</v>
      </c>
      <c r="AD457" s="66">
        <f t="shared" si="381"/>
        <v>-19.904269513936001</v>
      </c>
      <c r="AE457" s="63">
        <f t="shared" si="382"/>
        <v>-175.73145708006689</v>
      </c>
      <c r="AF457" s="51" t="e">
        <f t="shared" si="383"/>
        <v>#NUM!</v>
      </c>
      <c r="AG457" s="51" t="str">
        <f t="shared" si="365"/>
        <v>1-1156.75432443262i</v>
      </c>
      <c r="AH457" s="51">
        <f t="shared" si="384"/>
        <v>1156.7547566764388</v>
      </c>
      <c r="AI457" s="51">
        <f t="shared" si="385"/>
        <v>-1.5699318392111761</v>
      </c>
      <c r="AJ457" s="51" t="str">
        <f t="shared" si="366"/>
        <v>1+1.54233909924349i</v>
      </c>
      <c r="AK457" s="51">
        <f t="shared" si="386"/>
        <v>1.8381539372574922</v>
      </c>
      <c r="AL457" s="51">
        <f t="shared" si="387"/>
        <v>0.9955707519855812</v>
      </c>
      <c r="AM457" s="51" t="e">
        <f t="shared" si="367"/>
        <v>#NUM!</v>
      </c>
      <c r="AN457" s="51" t="e">
        <f t="shared" si="388"/>
        <v>#NUM!</v>
      </c>
      <c r="AO457" s="51" t="e">
        <f t="shared" si="389"/>
        <v>#NUM!</v>
      </c>
      <c r="AP457" s="60" t="e">
        <f t="shared" si="390"/>
        <v>#NUM!</v>
      </c>
      <c r="AQ457" s="51" t="e">
        <f t="shared" si="391"/>
        <v>#NUM!</v>
      </c>
      <c r="AR457" s="63" t="e">
        <f t="shared" si="392"/>
        <v>#NUM!</v>
      </c>
      <c r="AS457" s="32" t="str">
        <f t="shared" si="368"/>
        <v>-0.000170731707317073</v>
      </c>
      <c r="AT457" s="32" t="str">
        <f t="shared" si="369"/>
        <v>0.0586088857712527i</v>
      </c>
      <c r="AU457" s="32">
        <f t="shared" si="393"/>
        <v>5.86088857712527E-2</v>
      </c>
      <c r="AV457" s="32">
        <f t="shared" si="394"/>
        <v>1.5707963267948966</v>
      </c>
      <c r="AW457" s="32" t="str">
        <f t="shared" si="370"/>
        <v>1+12.4783350703005i</v>
      </c>
      <c r="AX457" s="32">
        <f t="shared" si="395"/>
        <v>12.518340390271044</v>
      </c>
      <c r="AY457" s="32">
        <f t="shared" si="396"/>
        <v>1.4908283296061973</v>
      </c>
      <c r="AZ457" s="32" t="str">
        <f t="shared" si="371"/>
        <v>1+237.088366335709i</v>
      </c>
      <c r="BA457" s="32">
        <f t="shared" si="397"/>
        <v>237.09047524465285</v>
      </c>
      <c r="BB457" s="32">
        <f t="shared" si="398"/>
        <v>1.5665785151600622</v>
      </c>
      <c r="BC457" s="60" t="str">
        <f t="shared" si="399"/>
        <v>-0.00417528719699901+0.0550137013014743i</v>
      </c>
      <c r="BD457" s="51">
        <f t="shared" si="400"/>
        <v>-25.16563861807548</v>
      </c>
      <c r="BE457" s="63">
        <f t="shared" si="401"/>
        <v>94.340165929569309</v>
      </c>
      <c r="BF457" s="60" t="str">
        <f t="shared" si="402"/>
        <v>0.000834996596525036-0.00551548749388343i</v>
      </c>
      <c r="BG457" s="66">
        <f t="shared" si="403"/>
        <v>-45.069908132011484</v>
      </c>
      <c r="BH457" s="63">
        <f t="shared" si="404"/>
        <v>-81.391291150497594</v>
      </c>
      <c r="BI457" s="60" t="e">
        <f t="shared" si="409"/>
        <v>#NUM!</v>
      </c>
      <c r="BJ457" s="66" t="e">
        <f t="shared" si="405"/>
        <v>#NUM!</v>
      </c>
      <c r="BK457" s="63" t="e">
        <f t="shared" si="410"/>
        <v>#NUM!</v>
      </c>
      <c r="BL457" s="51">
        <f t="shared" si="406"/>
        <v>-45.069908132011484</v>
      </c>
      <c r="BM457" s="63">
        <f t="shared" si="407"/>
        <v>-81.391291150497594</v>
      </c>
    </row>
    <row r="458" spans="14:65" x14ac:dyDescent="0.3">
      <c r="N458" s="11">
        <v>40</v>
      </c>
      <c r="O458" s="52">
        <f t="shared" si="408"/>
        <v>251188.64315095844</v>
      </c>
      <c r="P458" s="50" t="str">
        <f t="shared" si="360"/>
        <v>23.3035714285714</v>
      </c>
      <c r="Q458" s="18" t="str">
        <f t="shared" si="361"/>
        <v>1+845.498995701684i</v>
      </c>
      <c r="R458" s="18">
        <f t="shared" si="372"/>
        <v>845.4995870682352</v>
      </c>
      <c r="S458" s="18">
        <f t="shared" si="373"/>
        <v>1.5696135938303419</v>
      </c>
      <c r="T458" s="18" t="str">
        <f t="shared" si="362"/>
        <v>1+1.57826479197648i</v>
      </c>
      <c r="U458" s="18">
        <f t="shared" si="374"/>
        <v>1.8684003194156658</v>
      </c>
      <c r="V458" s="18">
        <f t="shared" si="375"/>
        <v>1.0060314643368555</v>
      </c>
      <c r="W458" s="32" t="str">
        <f t="shared" si="363"/>
        <v>1-3.85798060260917i</v>
      </c>
      <c r="X458" s="18">
        <f t="shared" si="376"/>
        <v>3.9854754208386001</v>
      </c>
      <c r="Y458" s="18">
        <f t="shared" si="377"/>
        <v>-1.3171749828096697</v>
      </c>
      <c r="Z458" s="32" t="str">
        <f t="shared" si="364"/>
        <v>0.747617062207921+1.89348372755398i</v>
      </c>
      <c r="AA458" s="18">
        <f t="shared" si="378"/>
        <v>2.0357337493434935</v>
      </c>
      <c r="AB458" s="18">
        <f t="shared" si="379"/>
        <v>1.1947488905217212</v>
      </c>
      <c r="AC458" s="68" t="str">
        <f t="shared" si="380"/>
        <v>-0.10059794435146-0.00665787667697851i</v>
      </c>
      <c r="AD458" s="66">
        <f t="shared" si="381"/>
        <v>-19.929236476705004</v>
      </c>
      <c r="AE458" s="63">
        <f t="shared" si="382"/>
        <v>-176.21351382901523</v>
      </c>
      <c r="AF458" s="51" t="e">
        <f t="shared" si="383"/>
        <v>#NUM!</v>
      </c>
      <c r="AG458" s="51" t="str">
        <f t="shared" si="365"/>
        <v>1-1183.69859398236i</v>
      </c>
      <c r="AH458" s="51">
        <f t="shared" si="384"/>
        <v>1183.6990163871117</v>
      </c>
      <c r="AI458" s="51">
        <f t="shared" si="385"/>
        <v>-1.5699515173415588</v>
      </c>
      <c r="AJ458" s="51" t="str">
        <f t="shared" si="366"/>
        <v>1+1.57826479197648i</v>
      </c>
      <c r="AK458" s="51">
        <f t="shared" si="386"/>
        <v>1.8684003194156658</v>
      </c>
      <c r="AL458" s="51">
        <f t="shared" si="387"/>
        <v>1.0060314643368555</v>
      </c>
      <c r="AM458" s="51" t="e">
        <f t="shared" si="367"/>
        <v>#NUM!</v>
      </c>
      <c r="AN458" s="51" t="e">
        <f t="shared" si="388"/>
        <v>#NUM!</v>
      </c>
      <c r="AO458" s="51" t="e">
        <f t="shared" si="389"/>
        <v>#NUM!</v>
      </c>
      <c r="AP458" s="60" t="e">
        <f t="shared" si="390"/>
        <v>#NUM!</v>
      </c>
      <c r="AQ458" s="51" t="e">
        <f t="shared" si="391"/>
        <v>#NUM!</v>
      </c>
      <c r="AR458" s="63" t="e">
        <f t="shared" si="392"/>
        <v>#NUM!</v>
      </c>
      <c r="AS458" s="32" t="str">
        <f t="shared" si="368"/>
        <v>-0.000170731707317073</v>
      </c>
      <c r="AT458" s="32" t="str">
        <f t="shared" si="369"/>
        <v>0.0599740620951062i</v>
      </c>
      <c r="AU458" s="32">
        <f t="shared" si="393"/>
        <v>5.9974062095106202E-2</v>
      </c>
      <c r="AV458" s="32">
        <f t="shared" si="394"/>
        <v>1.5707963267948966</v>
      </c>
      <c r="AW458" s="32" t="str">
        <f t="shared" si="370"/>
        <v>1+12.7689928327697i</v>
      </c>
      <c r="AX458" s="32">
        <f t="shared" si="395"/>
        <v>12.808090332415834</v>
      </c>
      <c r="AY458" s="32">
        <f t="shared" si="396"/>
        <v>1.4926411343354433</v>
      </c>
      <c r="AZ458" s="32" t="str">
        <f t="shared" si="371"/>
        <v>1+242.610863822625i</v>
      </c>
      <c r="BA458" s="32">
        <f t="shared" si="397"/>
        <v>242.61292472735306</v>
      </c>
      <c r="BB458" s="32">
        <f t="shared" si="398"/>
        <v>1.5666745231742791</v>
      </c>
      <c r="BC458" s="60" t="str">
        <f t="shared" si="399"/>
        <v>-0.00398851383493807+0.0537760636764601i</v>
      </c>
      <c r="BD458" s="51">
        <f t="shared" si="400"/>
        <v>-25.364394604905165</v>
      </c>
      <c r="BE458" s="63">
        <f t="shared" si="401"/>
        <v>94.241800723516221</v>
      </c>
      <c r="BF458" s="60" t="str">
        <f t="shared" si="402"/>
        <v>0.000759270692943343-0.00538320642792766i</v>
      </c>
      <c r="BG458" s="66">
        <f t="shared" si="403"/>
        <v>-45.293631081610172</v>
      </c>
      <c r="BH458" s="63">
        <f t="shared" si="404"/>
        <v>-81.971713105499006</v>
      </c>
      <c r="BI458" s="60" t="e">
        <f t="shared" si="409"/>
        <v>#NUM!</v>
      </c>
      <c r="BJ458" s="66" t="e">
        <f t="shared" si="405"/>
        <v>#NUM!</v>
      </c>
      <c r="BK458" s="63" t="e">
        <f t="shared" si="410"/>
        <v>#NUM!</v>
      </c>
      <c r="BL458" s="51">
        <f t="shared" si="406"/>
        <v>-45.293631081610172</v>
      </c>
      <c r="BM458" s="63">
        <f t="shared" si="407"/>
        <v>-81.971713105499006</v>
      </c>
    </row>
    <row r="459" spans="14:65" x14ac:dyDescent="0.3">
      <c r="N459" s="11">
        <v>41</v>
      </c>
      <c r="O459" s="52">
        <f t="shared" si="408"/>
        <v>257039.57827688678</v>
      </c>
      <c r="P459" s="50" t="str">
        <f t="shared" si="360"/>
        <v>23.3035714285714</v>
      </c>
      <c r="Q459" s="18" t="str">
        <f t="shared" si="361"/>
        <v>1+865.193197281947i</v>
      </c>
      <c r="R459" s="18">
        <f t="shared" si="372"/>
        <v>865.19377518736121</v>
      </c>
      <c r="S459" s="18">
        <f t="shared" si="373"/>
        <v>1.5696405160952263</v>
      </c>
      <c r="T459" s="18" t="str">
        <f t="shared" si="362"/>
        <v>1+1.61502730159297i</v>
      </c>
      <c r="U459" s="18">
        <f t="shared" si="374"/>
        <v>1.8995560494206718</v>
      </c>
      <c r="V459" s="18">
        <f t="shared" si="375"/>
        <v>1.0163898212677382</v>
      </c>
      <c r="W459" s="32" t="str">
        <f t="shared" si="363"/>
        <v>1-3.94784451500504i</v>
      </c>
      <c r="X459" s="18">
        <f t="shared" si="376"/>
        <v>4.072527018284271</v>
      </c>
      <c r="Y459" s="18">
        <f t="shared" si="377"/>
        <v>-1.3227115864252161</v>
      </c>
      <c r="Z459" s="32" t="str">
        <f t="shared" si="364"/>
        <v>0.735722620796961+1.93758862940363i</v>
      </c>
      <c r="AA459" s="18">
        <f t="shared" si="378"/>
        <v>2.0725678448597495</v>
      </c>
      <c r="AB459" s="18">
        <f t="shared" si="379"/>
        <v>1.2079023691986956</v>
      </c>
      <c r="AC459" s="68" t="str">
        <f t="shared" si="380"/>
        <v>-0.100367331851691-0.00580045045701646i</v>
      </c>
      <c r="AD459" s="66">
        <f t="shared" si="381"/>
        <v>-19.953671411780903</v>
      </c>
      <c r="AE459" s="63">
        <f t="shared" si="382"/>
        <v>-176.69242906045213</v>
      </c>
      <c r="AF459" s="51" t="e">
        <f t="shared" si="383"/>
        <v>#NUM!</v>
      </c>
      <c r="AG459" s="51" t="str">
        <f t="shared" si="365"/>
        <v>1-1211.27047619473i</v>
      </c>
      <c r="AH459" s="51">
        <f t="shared" si="384"/>
        <v>1211.2708889843791</v>
      </c>
      <c r="AI459" s="51">
        <f t="shared" si="385"/>
        <v>-1.5699707475436397</v>
      </c>
      <c r="AJ459" s="51" t="str">
        <f t="shared" si="366"/>
        <v>1+1.61502730159297i</v>
      </c>
      <c r="AK459" s="51">
        <f t="shared" si="386"/>
        <v>1.8995560494206718</v>
      </c>
      <c r="AL459" s="51">
        <f t="shared" si="387"/>
        <v>1.0163898212677382</v>
      </c>
      <c r="AM459" s="51" t="e">
        <f t="shared" si="367"/>
        <v>#NUM!</v>
      </c>
      <c r="AN459" s="51" t="e">
        <f t="shared" si="388"/>
        <v>#NUM!</v>
      </c>
      <c r="AO459" s="51" t="e">
        <f t="shared" si="389"/>
        <v>#NUM!</v>
      </c>
      <c r="AP459" s="60" t="e">
        <f t="shared" si="390"/>
        <v>#NUM!</v>
      </c>
      <c r="AQ459" s="51" t="e">
        <f t="shared" si="391"/>
        <v>#NUM!</v>
      </c>
      <c r="AR459" s="63" t="e">
        <f t="shared" si="392"/>
        <v>#NUM!</v>
      </c>
      <c r="AS459" s="32" t="str">
        <f t="shared" si="368"/>
        <v>-0.000170731707317073</v>
      </c>
      <c r="AT459" s="32" t="str">
        <f t="shared" si="369"/>
        <v>0.0613710374605329i</v>
      </c>
      <c r="AU459" s="32">
        <f t="shared" si="393"/>
        <v>6.13710374605329E-2</v>
      </c>
      <c r="AV459" s="32">
        <f t="shared" si="394"/>
        <v>1.5707963267948966</v>
      </c>
      <c r="AW459" s="32" t="str">
        <f t="shared" si="370"/>
        <v>1+13.0664208842564i</v>
      </c>
      <c r="AX459" s="32">
        <f t="shared" si="395"/>
        <v>13.104631041144644</v>
      </c>
      <c r="AY459" s="32">
        <f t="shared" si="396"/>
        <v>1.4944131721013414</v>
      </c>
      <c r="AZ459" s="32" t="str">
        <f t="shared" si="371"/>
        <v>1+248.261996800871i</v>
      </c>
      <c r="BA459" s="32">
        <f t="shared" si="397"/>
        <v>248.26401079406511</v>
      </c>
      <c r="BB459" s="32">
        <f t="shared" si="398"/>
        <v>1.5667683458527064</v>
      </c>
      <c r="BC459" s="60" t="str">
        <f t="shared" si="399"/>
        <v>-0.00381004645272151+0.0525656294960675i</v>
      </c>
      <c r="BD459" s="51">
        <f t="shared" si="400"/>
        <v>-25.563206246952952</v>
      </c>
      <c r="BE459" s="63">
        <f t="shared" si="401"/>
        <v>94.145646081888955</v>
      </c>
      <c r="BF459" s="60" t="str">
        <f t="shared" si="402"/>
        <v>0.00068730852632448-0.0052537719939369i</v>
      </c>
      <c r="BG459" s="66">
        <f t="shared" si="403"/>
        <v>-45.516877658733854</v>
      </c>
      <c r="BH459" s="63">
        <f t="shared" si="404"/>
        <v>-82.546782978563186</v>
      </c>
      <c r="BI459" s="60" t="e">
        <f t="shared" si="409"/>
        <v>#NUM!</v>
      </c>
      <c r="BJ459" s="66" t="e">
        <f t="shared" si="405"/>
        <v>#NUM!</v>
      </c>
      <c r="BK459" s="63" t="e">
        <f t="shared" si="410"/>
        <v>#NUM!</v>
      </c>
      <c r="BL459" s="51">
        <f t="shared" si="406"/>
        <v>-45.516877658733854</v>
      </c>
      <c r="BM459" s="63">
        <f t="shared" si="407"/>
        <v>-82.546782978563186</v>
      </c>
    </row>
    <row r="460" spans="14:65" x14ac:dyDescent="0.3">
      <c r="N460" s="11">
        <v>42</v>
      </c>
      <c r="O460" s="52">
        <f t="shared" si="408"/>
        <v>263026.79918953858</v>
      </c>
      <c r="P460" s="50" t="str">
        <f t="shared" si="360"/>
        <v>23.3035714285714</v>
      </c>
      <c r="Q460" s="18" t="str">
        <f t="shared" si="361"/>
        <v>1+885.346135747595i</v>
      </c>
      <c r="R460" s="18">
        <f t="shared" si="372"/>
        <v>885.34670049828435</v>
      </c>
      <c r="S460" s="18">
        <f t="shared" si="373"/>
        <v>1.5696668255361625</v>
      </c>
      <c r="T460" s="18" t="str">
        <f t="shared" si="362"/>
        <v>1+1.65264612006218i</v>
      </c>
      <c r="U460" s="18">
        <f t="shared" si="374"/>
        <v>1.9316415811833669</v>
      </c>
      <c r="V460" s="18">
        <f t="shared" si="375"/>
        <v>1.0266424233340912</v>
      </c>
      <c r="W460" s="32" t="str">
        <f t="shared" si="363"/>
        <v>1-4.03980162681866i</v>
      </c>
      <c r="X460" s="18">
        <f t="shared" si="376"/>
        <v>4.1617300710217489</v>
      </c>
      <c r="Y460" s="18">
        <f t="shared" si="377"/>
        <v>-1.3281372088882808</v>
      </c>
      <c r="Z460" s="32" t="str">
        <f t="shared" si="364"/>
        <v>0.723267611632425+1.9827208663916i</v>
      </c>
      <c r="AA460" s="18">
        <f t="shared" si="378"/>
        <v>2.1105208058820764</v>
      </c>
      <c r="AB460" s="18">
        <f t="shared" si="379"/>
        <v>1.221010861250216</v>
      </c>
      <c r="AC460" s="68" t="str">
        <f t="shared" si="380"/>
        <v>-0.100135797579565-0.0049527620558561i</v>
      </c>
      <c r="AD460" s="66">
        <f t="shared" si="381"/>
        <v>-19.977601443170759</v>
      </c>
      <c r="AE460" s="63">
        <f t="shared" si="382"/>
        <v>-177.16843219164781</v>
      </c>
      <c r="AF460" s="51" t="e">
        <f t="shared" si="383"/>
        <v>#NUM!</v>
      </c>
      <c r="AG460" s="51" t="str">
        <f t="shared" si="365"/>
        <v>1-1239.48459004664i</v>
      </c>
      <c r="AH460" s="51">
        <f t="shared" si="384"/>
        <v>1239.4849934400527</v>
      </c>
      <c r="AI460" s="51">
        <f t="shared" si="385"/>
        <v>-1.56998954001347</v>
      </c>
      <c r="AJ460" s="51" t="str">
        <f t="shared" si="366"/>
        <v>1+1.65264612006218i</v>
      </c>
      <c r="AK460" s="51">
        <f t="shared" si="386"/>
        <v>1.9316415811833669</v>
      </c>
      <c r="AL460" s="51">
        <f t="shared" si="387"/>
        <v>1.0266424233340912</v>
      </c>
      <c r="AM460" s="51" t="e">
        <f t="shared" si="367"/>
        <v>#NUM!</v>
      </c>
      <c r="AN460" s="51" t="e">
        <f t="shared" si="388"/>
        <v>#NUM!</v>
      </c>
      <c r="AO460" s="51" t="e">
        <f t="shared" si="389"/>
        <v>#NUM!</v>
      </c>
      <c r="AP460" s="60" t="e">
        <f t="shared" si="390"/>
        <v>#NUM!</v>
      </c>
      <c r="AQ460" s="51" t="e">
        <f t="shared" si="391"/>
        <v>#NUM!</v>
      </c>
      <c r="AR460" s="63" t="e">
        <f t="shared" si="392"/>
        <v>#NUM!</v>
      </c>
      <c r="AS460" s="32" t="str">
        <f t="shared" si="368"/>
        <v>-0.000170731707317073</v>
      </c>
      <c r="AT460" s="32" t="str">
        <f t="shared" si="369"/>
        <v>0.062800552562363i</v>
      </c>
      <c r="AU460" s="32">
        <f t="shared" si="393"/>
        <v>6.2800552562362999E-2</v>
      </c>
      <c r="AV460" s="32">
        <f t="shared" si="394"/>
        <v>1.5707963267948966</v>
      </c>
      <c r="AW460" s="32" t="str">
        <f t="shared" si="370"/>
        <v>1+13.3707769250504i</v>
      </c>
      <c r="AX460" s="32">
        <f t="shared" si="395"/>
        <v>13.408119763018984</v>
      </c>
      <c r="AY460" s="32">
        <f t="shared" si="396"/>
        <v>1.496145337921637</v>
      </c>
      <c r="AZ460" s="32" t="str">
        <f t="shared" si="371"/>
        <v>1+254.044761575958i</v>
      </c>
      <c r="BA460" s="32">
        <f t="shared" si="397"/>
        <v>254.04672972542937</v>
      </c>
      <c r="BB460" s="32">
        <f t="shared" si="398"/>
        <v>1.5668600329347591</v>
      </c>
      <c r="BC460" s="60" t="str">
        <f t="shared" si="399"/>
        <v>-0.0036395199614207+0.0513818433576334i</v>
      </c>
      <c r="BD460" s="51">
        <f t="shared" si="400"/>
        <v>-25.762071068594675</v>
      </c>
      <c r="BE460" s="63">
        <f t="shared" si="401"/>
        <v>94.051653573806703</v>
      </c>
      <c r="BF460" s="60" t="str">
        <f t="shared" si="402"/>
        <v>0.000618928278285238-0.00512713618935844i</v>
      </c>
      <c r="BG460" s="66">
        <f t="shared" si="403"/>
        <v>-45.739672511765434</v>
      </c>
      <c r="BH460" s="63">
        <f t="shared" si="404"/>
        <v>-83.116778617841092</v>
      </c>
      <c r="BI460" s="60" t="e">
        <f t="shared" si="409"/>
        <v>#NUM!</v>
      </c>
      <c r="BJ460" s="66" t="e">
        <f t="shared" si="405"/>
        <v>#NUM!</v>
      </c>
      <c r="BK460" s="63" t="e">
        <f t="shared" si="410"/>
        <v>#NUM!</v>
      </c>
      <c r="BL460" s="51">
        <f t="shared" si="406"/>
        <v>-45.739672511765434</v>
      </c>
      <c r="BM460" s="63">
        <f t="shared" si="407"/>
        <v>-83.116778617841092</v>
      </c>
    </row>
    <row r="461" spans="14:65" x14ac:dyDescent="0.3">
      <c r="N461" s="11">
        <v>43</v>
      </c>
      <c r="O461" s="52">
        <f t="shared" si="408"/>
        <v>269153.48039269145</v>
      </c>
      <c r="P461" s="50" t="str">
        <f t="shared" si="360"/>
        <v>23.3035714285714</v>
      </c>
      <c r="Q461" s="18" t="str">
        <f t="shared" si="361"/>
        <v>1+905.968496453361i</v>
      </c>
      <c r="R461" s="18">
        <f t="shared" si="372"/>
        <v>905.96904834876307</v>
      </c>
      <c r="S461" s="18">
        <f t="shared" si="373"/>
        <v>1.5696925361026191</v>
      </c>
      <c r="T461" s="18" t="str">
        <f t="shared" si="362"/>
        <v>1+1.69114119337961i</v>
      </c>
      <c r="U461" s="18">
        <f t="shared" si="374"/>
        <v>1.9646777180864581</v>
      </c>
      <c r="V461" s="18">
        <f t="shared" si="375"/>
        <v>1.0367860844931573</v>
      </c>
      <c r="W461" s="32" t="str">
        <f t="shared" si="363"/>
        <v>1-4.13390069492794i</v>
      </c>
      <c r="X461" s="18">
        <f t="shared" si="376"/>
        <v>4.2531323698570329</v>
      </c>
      <c r="Y461" s="18">
        <f t="shared" si="377"/>
        <v>-1.3334534486610212</v>
      </c>
      <c r="Z461" s="32" t="str">
        <f t="shared" si="364"/>
        <v>0.710225615970003+2.02890436822735i</v>
      </c>
      <c r="AA461" s="18">
        <f t="shared" si="378"/>
        <v>2.1496216785732307</v>
      </c>
      <c r="AB461" s="18">
        <f t="shared" si="379"/>
        <v>1.2340736093231528</v>
      </c>
      <c r="AC461" s="68" t="str">
        <f t="shared" si="380"/>
        <v>-0.0999031868817723-0.00411425320165409i</v>
      </c>
      <c r="AD461" s="66">
        <f t="shared" si="381"/>
        <v>-20.001053800716747</v>
      </c>
      <c r="AE461" s="63">
        <f t="shared" si="382"/>
        <v>-177.64175476064898</v>
      </c>
      <c r="AF461" s="51" t="e">
        <f t="shared" si="383"/>
        <v>#NUM!</v>
      </c>
      <c r="AG461" s="51" t="str">
        <f t="shared" si="365"/>
        <v>1-1268.35589503471i</v>
      </c>
      <c r="AH461" s="51">
        <f t="shared" si="384"/>
        <v>1268.3562892457703</v>
      </c>
      <c r="AI461" s="51">
        <f t="shared" si="385"/>
        <v>-1.5700079047150122</v>
      </c>
      <c r="AJ461" s="51" t="str">
        <f t="shared" si="366"/>
        <v>1+1.69114119337961i</v>
      </c>
      <c r="AK461" s="51">
        <f t="shared" si="386"/>
        <v>1.9646777180864581</v>
      </c>
      <c r="AL461" s="51">
        <f t="shared" si="387"/>
        <v>1.0367860844931573</v>
      </c>
      <c r="AM461" s="51" t="e">
        <f t="shared" si="367"/>
        <v>#NUM!</v>
      </c>
      <c r="AN461" s="51" t="e">
        <f t="shared" si="388"/>
        <v>#NUM!</v>
      </c>
      <c r="AO461" s="51" t="e">
        <f t="shared" si="389"/>
        <v>#NUM!</v>
      </c>
      <c r="AP461" s="60" t="e">
        <f t="shared" si="390"/>
        <v>#NUM!</v>
      </c>
      <c r="AQ461" s="51" t="e">
        <f t="shared" si="391"/>
        <v>#NUM!</v>
      </c>
      <c r="AR461" s="63" t="e">
        <f t="shared" si="392"/>
        <v>#NUM!</v>
      </c>
      <c r="AS461" s="32" t="str">
        <f t="shared" si="368"/>
        <v>-0.000170731707317073</v>
      </c>
      <c r="AT461" s="32" t="str">
        <f t="shared" si="369"/>
        <v>0.0642633653484251i</v>
      </c>
      <c r="AU461" s="32">
        <f t="shared" si="393"/>
        <v>6.4263365348425097E-2</v>
      </c>
      <c r="AV461" s="32">
        <f t="shared" si="394"/>
        <v>1.5707963267948966</v>
      </c>
      <c r="AW461" s="32" t="str">
        <f t="shared" si="370"/>
        <v>1+13.6822223287533i</v>
      </c>
      <c r="AX461" s="32">
        <f t="shared" si="395"/>
        <v>13.718717427421391</v>
      </c>
      <c r="AY461" s="32">
        <f t="shared" si="396"/>
        <v>1.4978385086128134</v>
      </c>
      <c r="AZ461" s="32" t="str">
        <f t="shared" si="371"/>
        <v>1+259.962224246314i</v>
      </c>
      <c r="BA461" s="32">
        <f t="shared" si="397"/>
        <v>259.9641475955691</v>
      </c>
      <c r="BB461" s="32">
        <f t="shared" si="398"/>
        <v>1.566949633027972</v>
      </c>
      <c r="BC461" s="60" t="str">
        <f t="shared" si="399"/>
        <v>-0.00347658494428432+0.0502241583303197i</v>
      </c>
      <c r="BD461" s="51">
        <f t="shared" si="400"/>
        <v>-25.960986703073434</v>
      </c>
      <c r="BE461" s="63">
        <f t="shared" si="401"/>
        <v>93.959775746392125</v>
      </c>
      <c r="BF461" s="60" t="str">
        <f t="shared" si="402"/>
        <v>0.000553956819610092-0.00500324992491581i</v>
      </c>
      <c r="BG461" s="66">
        <f t="shared" si="403"/>
        <v>-45.962040503790178</v>
      </c>
      <c r="BH461" s="63">
        <f t="shared" si="404"/>
        <v>-83.681979014256868</v>
      </c>
      <c r="BI461" s="60" t="e">
        <f t="shared" si="409"/>
        <v>#NUM!</v>
      </c>
      <c r="BJ461" s="66" t="e">
        <f t="shared" si="405"/>
        <v>#NUM!</v>
      </c>
      <c r="BK461" s="63" t="e">
        <f t="shared" si="410"/>
        <v>#NUM!</v>
      </c>
      <c r="BL461" s="51">
        <f t="shared" si="406"/>
        <v>-45.962040503790178</v>
      </c>
      <c r="BM461" s="63">
        <f t="shared" si="407"/>
        <v>-83.681979014256868</v>
      </c>
    </row>
    <row r="462" spans="14:65" x14ac:dyDescent="0.3">
      <c r="N462" s="11">
        <v>44</v>
      </c>
      <c r="O462" s="52">
        <f t="shared" si="408"/>
        <v>275422.87033381703</v>
      </c>
      <c r="P462" s="50" t="str">
        <f t="shared" si="360"/>
        <v>23.3035714285714</v>
      </c>
      <c r="Q462" s="18" t="str">
        <f t="shared" si="361"/>
        <v>1+927.071213647857i</v>
      </c>
      <c r="R462" s="18">
        <f t="shared" si="372"/>
        <v>927.07175298059337</v>
      </c>
      <c r="S462" s="18">
        <f t="shared" si="373"/>
        <v>1.5697176614265422</v>
      </c>
      <c r="T462" s="18" t="str">
        <f t="shared" si="362"/>
        <v>1+1.73053293214267i</v>
      </c>
      <c r="U462" s="18">
        <f t="shared" si="374"/>
        <v>1.9986856254124374</v>
      </c>
      <c r="V462" s="18">
        <f t="shared" si="375"/>
        <v>1.0468178327848114</v>
      </c>
      <c r="W462" s="32" t="str">
        <f t="shared" si="363"/>
        <v>1-4.23019161190431i</v>
      </c>
      <c r="X462" s="18">
        <f t="shared" si="376"/>
        <v>4.3467828417607404</v>
      </c>
      <c r="Y462" s="18">
        <f t="shared" si="377"/>
        <v>-1.3386619219657854</v>
      </c>
      <c r="Z462" s="32" t="str">
        <f t="shared" si="364"/>
        <v>0.696568969988324+2.07616362201486i</v>
      </c>
      <c r="AA462" s="18">
        <f t="shared" si="378"/>
        <v>2.1899003893621409</v>
      </c>
      <c r="AB462" s="18">
        <f t="shared" si="379"/>
        <v>1.2470900823386257</v>
      </c>
      <c r="AC462" s="68" t="str">
        <f t="shared" si="380"/>
        <v>-0.0996693301853817-0.0032843775720661i</v>
      </c>
      <c r="AD462" s="66">
        <f t="shared" si="381"/>
        <v>-20.024055835178466</v>
      </c>
      <c r="AE462" s="63">
        <f t="shared" si="382"/>
        <v>-178.1126300034214</v>
      </c>
      <c r="AF462" s="51" t="e">
        <f t="shared" si="383"/>
        <v>#NUM!</v>
      </c>
      <c r="AG462" s="51" t="str">
        <f t="shared" si="365"/>
        <v>1-1297.89969910701i</v>
      </c>
      <c r="AH462" s="51">
        <f t="shared" si="384"/>
        <v>1297.9000843447341</v>
      </c>
      <c r="AI462" s="51">
        <f t="shared" si="385"/>
        <v>-1.5700258513854251</v>
      </c>
      <c r="AJ462" s="51" t="str">
        <f t="shared" si="366"/>
        <v>1+1.73053293214267i</v>
      </c>
      <c r="AK462" s="51">
        <f t="shared" si="386"/>
        <v>1.9986856254124374</v>
      </c>
      <c r="AL462" s="51">
        <f t="shared" si="387"/>
        <v>1.0468178327848114</v>
      </c>
      <c r="AM462" s="51" t="e">
        <f t="shared" si="367"/>
        <v>#NUM!</v>
      </c>
      <c r="AN462" s="51" t="e">
        <f t="shared" si="388"/>
        <v>#NUM!</v>
      </c>
      <c r="AO462" s="51" t="e">
        <f t="shared" si="389"/>
        <v>#NUM!</v>
      </c>
      <c r="AP462" s="60" t="e">
        <f t="shared" si="390"/>
        <v>#NUM!</v>
      </c>
      <c r="AQ462" s="51" t="e">
        <f t="shared" si="391"/>
        <v>#NUM!</v>
      </c>
      <c r="AR462" s="63" t="e">
        <f t="shared" si="392"/>
        <v>#NUM!</v>
      </c>
      <c r="AS462" s="32" t="str">
        <f t="shared" si="368"/>
        <v>-0.000170731707317073</v>
      </c>
      <c r="AT462" s="32" t="str">
        <f t="shared" si="369"/>
        <v>0.0657602514214214i</v>
      </c>
      <c r="AU462" s="32">
        <f t="shared" si="393"/>
        <v>6.5760251421421403E-2</v>
      </c>
      <c r="AV462" s="32">
        <f t="shared" si="394"/>
        <v>1.5707963267948966</v>
      </c>
      <c r="AW462" s="32" t="str">
        <f t="shared" si="370"/>
        <v>1+14.0009222278406i</v>
      </c>
      <c r="AX462" s="32">
        <f t="shared" si="395"/>
        <v>14.03658873195482</v>
      </c>
      <c r="AY462" s="32">
        <f t="shared" si="396"/>
        <v>1.4994935430624114</v>
      </c>
      <c r="AZ462" s="32" t="str">
        <f t="shared" si="371"/>
        <v>1+266.017522328971i</v>
      </c>
      <c r="BA462" s="32">
        <f t="shared" si="397"/>
        <v>266.01940189776491</v>
      </c>
      <c r="BB462" s="32">
        <f t="shared" si="398"/>
        <v>1.5670371936337426</v>
      </c>
      <c r="BC462" s="60" t="str">
        <f t="shared" si="399"/>
        <v>-0.00332090701697168+0.0490920360310622i</v>
      </c>
      <c r="BD462" s="51">
        <f t="shared" si="400"/>
        <v>-26.159950887821925</v>
      </c>
      <c r="BE462" s="63">
        <f t="shared" si="401"/>
        <v>93.869966110643674</v>
      </c>
      <c r="BF462" s="60" t="str">
        <f t="shared" si="402"/>
        <v>0.000492229360096983-0.00488206323612714i</v>
      </c>
      <c r="BG462" s="66">
        <f t="shared" si="403"/>
        <v>-46.18400672300038</v>
      </c>
      <c r="BH462" s="63">
        <f t="shared" si="404"/>
        <v>-84.242663892777713</v>
      </c>
      <c r="BI462" s="60" t="e">
        <f t="shared" si="409"/>
        <v>#NUM!</v>
      </c>
      <c r="BJ462" s="66" t="e">
        <f t="shared" si="405"/>
        <v>#NUM!</v>
      </c>
      <c r="BK462" s="63" t="e">
        <f t="shared" si="410"/>
        <v>#NUM!</v>
      </c>
      <c r="BL462" s="51">
        <f t="shared" si="406"/>
        <v>-46.18400672300038</v>
      </c>
      <c r="BM462" s="63">
        <f t="shared" si="407"/>
        <v>-84.242663892777713</v>
      </c>
    </row>
    <row r="463" spans="14:65" x14ac:dyDescent="0.3">
      <c r="N463" s="11">
        <v>45</v>
      </c>
      <c r="O463" s="52">
        <f t="shared" si="408"/>
        <v>281838.29312644573</v>
      </c>
      <c r="P463" s="50" t="str">
        <f t="shared" si="360"/>
        <v>23.3035714285714</v>
      </c>
      <c r="Q463" s="18" t="str">
        <f t="shared" si="361"/>
        <v>1+948.665476271066i</v>
      </c>
      <c r="R463" s="18">
        <f t="shared" si="372"/>
        <v>948.66600332709754</v>
      </c>
      <c r="S463" s="18">
        <f t="shared" si="373"/>
        <v>1.5697422148295843</v>
      </c>
      <c r="T463" s="18" t="str">
        <f t="shared" si="362"/>
        <v>1+1.77084222237266i</v>
      </c>
      <c r="U463" s="18">
        <f t="shared" si="374"/>
        <v>2.0336868432818616</v>
      </c>
      <c r="V463" s="18">
        <f t="shared" si="375"/>
        <v>1.0567349101621339</v>
      </c>
      <c r="W463" s="32" t="str">
        <f t="shared" si="363"/>
        <v>1-4.3287254324665i</v>
      </c>
      <c r="X463" s="18">
        <f t="shared" si="376"/>
        <v>4.4427315774962466</v>
      </c>
      <c r="Y463" s="18">
        <f t="shared" si="377"/>
        <v>-1.3437642595363049</v>
      </c>
      <c r="Z463" s="32" t="str">
        <f t="shared" si="364"/>
        <v>0.682268706110285+2.12452368523604i</v>
      </c>
      <c r="AA463" s="18">
        <f t="shared" si="378"/>
        <v>2.231387791592113</v>
      </c>
      <c r="AB463" s="18">
        <f t="shared" si="379"/>
        <v>1.2600599715293144</v>
      </c>
      <c r="AC463" s="68" t="str">
        <f t="shared" si="380"/>
        <v>-0.0994340431706889-0.00246260136676152i</v>
      </c>
      <c r="AD463" s="66">
        <f t="shared" si="381"/>
        <v>-20.046635032432917</v>
      </c>
      <c r="AE463" s="63">
        <f t="shared" si="382"/>
        <v>-178.58129245078374</v>
      </c>
      <c r="AF463" s="51" t="e">
        <f t="shared" si="383"/>
        <v>#NUM!</v>
      </c>
      <c r="AG463" s="51" t="str">
        <f t="shared" si="365"/>
        <v>1-1328.1316667795i</v>
      </c>
      <c r="AH463" s="51">
        <f t="shared" si="384"/>
        <v>1328.1320432481452</v>
      </c>
      <c r="AI463" s="51">
        <f t="shared" si="385"/>
        <v>-1.5700433895402242</v>
      </c>
      <c r="AJ463" s="51" t="str">
        <f t="shared" si="366"/>
        <v>1+1.77084222237266i</v>
      </c>
      <c r="AK463" s="51">
        <f t="shared" si="386"/>
        <v>2.0336868432818616</v>
      </c>
      <c r="AL463" s="51">
        <f t="shared" si="387"/>
        <v>1.0567349101621339</v>
      </c>
      <c r="AM463" s="51" t="e">
        <f t="shared" si="367"/>
        <v>#NUM!</v>
      </c>
      <c r="AN463" s="51" t="e">
        <f t="shared" si="388"/>
        <v>#NUM!</v>
      </c>
      <c r="AO463" s="51" t="e">
        <f t="shared" si="389"/>
        <v>#NUM!</v>
      </c>
      <c r="AP463" s="60" t="e">
        <f t="shared" si="390"/>
        <v>#NUM!</v>
      </c>
      <c r="AQ463" s="51" t="e">
        <f t="shared" si="391"/>
        <v>#NUM!</v>
      </c>
      <c r="AR463" s="63" t="e">
        <f t="shared" si="392"/>
        <v>#NUM!</v>
      </c>
      <c r="AS463" s="32" t="str">
        <f t="shared" si="368"/>
        <v>-0.000170731707317073</v>
      </c>
      <c r="AT463" s="32" t="str">
        <f t="shared" si="369"/>
        <v>0.067292004450161i</v>
      </c>
      <c r="AU463" s="32">
        <f t="shared" si="393"/>
        <v>6.7292004450160994E-2</v>
      </c>
      <c r="AV463" s="32">
        <f t="shared" si="394"/>
        <v>1.5707963267948966</v>
      </c>
      <c r="AW463" s="32" t="str">
        <f t="shared" si="370"/>
        <v>1+14.3270456012171i</v>
      </c>
      <c r="AX463" s="32">
        <f t="shared" si="395"/>
        <v>14.361902229835509</v>
      </c>
      <c r="AY463" s="32">
        <f t="shared" si="396"/>
        <v>1.5011112825043085</v>
      </c>
      <c r="AZ463" s="32" t="str">
        <f t="shared" si="371"/>
        <v>1+272.213866423125i</v>
      </c>
      <c r="BA463" s="32">
        <f t="shared" si="397"/>
        <v>272.21570320800186</v>
      </c>
      <c r="BB463" s="32">
        <f t="shared" si="398"/>
        <v>1.5671227611724896</v>
      </c>
      <c r="BC463" s="60" t="str">
        <f t="shared" si="399"/>
        <v>-0.00317216621096567+0.0479849466818794i</v>
      </c>
      <c r="BD463" s="51">
        <f t="shared" si="400"/>
        <v>-26.358961459975223</v>
      </c>
      <c r="BE463" s="63">
        <f t="shared" si="401"/>
        <v>93.782179127104627</v>
      </c>
      <c r="BF463" s="60" t="str">
        <f t="shared" si="402"/>
        <v>0.000433589107248536-0.00476352547906248i</v>
      </c>
      <c r="BG463" s="66">
        <f t="shared" si="403"/>
        <v>-46.405596492408144</v>
      </c>
      <c r="BH463" s="63">
        <f t="shared" si="404"/>
        <v>-84.799113323679109</v>
      </c>
      <c r="BI463" s="60" t="e">
        <f t="shared" si="409"/>
        <v>#NUM!</v>
      </c>
      <c r="BJ463" s="66" t="e">
        <f t="shared" si="405"/>
        <v>#NUM!</v>
      </c>
      <c r="BK463" s="63" t="e">
        <f t="shared" si="410"/>
        <v>#NUM!</v>
      </c>
      <c r="BL463" s="51">
        <f t="shared" si="406"/>
        <v>-46.405596492408144</v>
      </c>
      <c r="BM463" s="63">
        <f t="shared" si="407"/>
        <v>-84.799113323679109</v>
      </c>
    </row>
    <row r="464" spans="14:65" x14ac:dyDescent="0.3">
      <c r="N464" s="11">
        <v>46</v>
      </c>
      <c r="O464" s="52">
        <f t="shared" si="408"/>
        <v>288403.1503126609</v>
      </c>
      <c r="P464" s="50" t="str">
        <f t="shared" si="360"/>
        <v>23.3035714285714</v>
      </c>
      <c r="Q464" s="18" t="str">
        <f t="shared" si="361"/>
        <v>1+970.762733886866i</v>
      </c>
      <c r="R464" s="18">
        <f t="shared" si="372"/>
        <v>970.76324894564402</v>
      </c>
      <c r="S464" s="18">
        <f t="shared" si="373"/>
        <v>1.5697662093301665</v>
      </c>
      <c r="T464" s="18" t="str">
        <f t="shared" si="362"/>
        <v>1+1.81209043658882i</v>
      </c>
      <c r="U464" s="18">
        <f t="shared" si="374"/>
        <v>2.0697033000835314</v>
      </c>
      <c r="V464" s="18">
        <f t="shared" si="375"/>
        <v>1.066534771515067</v>
      </c>
      <c r="W464" s="32" t="str">
        <f t="shared" si="363"/>
        <v>1-4.42955440055045i</v>
      </c>
      <c r="X464" s="18">
        <f t="shared" si="376"/>
        <v>4.5410298597824541</v>
      </c>
      <c r="Y464" s="18">
        <f t="shared" si="377"/>
        <v>-1.3487621035595558</v>
      </c>
      <c r="Z464" s="32" t="str">
        <f t="shared" si="364"/>
        <v>0.667294491558929+2.17401019903652i</v>
      </c>
      <c r="AA464" s="18">
        <f t="shared" si="378"/>
        <v>2.2741157147295081</v>
      </c>
      <c r="AB464" s="18">
        <f t="shared" si="379"/>
        <v>1.2729831858258887</v>
      </c>
      <c r="AC464" s="68" t="str">
        <f t="shared" si="380"/>
        <v>-0.0991971269681228-0.00164840386458326i</v>
      </c>
      <c r="AD464" s="66">
        <f t="shared" si="381"/>
        <v>-20.068819026912145</v>
      </c>
      <c r="AE464" s="63">
        <f t="shared" si="382"/>
        <v>-179.04797754519592</v>
      </c>
      <c r="AF464" s="51" t="e">
        <f t="shared" si="383"/>
        <v>#NUM!</v>
      </c>
      <c r="AG464" s="51" t="str">
        <f t="shared" si="365"/>
        <v>1-1359.06782744162i</v>
      </c>
      <c r="AH464" s="51">
        <f t="shared" si="384"/>
        <v>1359.0681953407948</v>
      </c>
      <c r="AI464" s="51">
        <f t="shared" si="385"/>
        <v>-1.5700605284783284</v>
      </c>
      <c r="AJ464" s="51" t="str">
        <f t="shared" si="366"/>
        <v>1+1.81209043658882i</v>
      </c>
      <c r="AK464" s="51">
        <f t="shared" si="386"/>
        <v>2.0697033000835314</v>
      </c>
      <c r="AL464" s="51">
        <f t="shared" si="387"/>
        <v>1.066534771515067</v>
      </c>
      <c r="AM464" s="51" t="e">
        <f t="shared" si="367"/>
        <v>#NUM!</v>
      </c>
      <c r="AN464" s="51" t="e">
        <f t="shared" si="388"/>
        <v>#NUM!</v>
      </c>
      <c r="AO464" s="51" t="e">
        <f t="shared" si="389"/>
        <v>#NUM!</v>
      </c>
      <c r="AP464" s="60" t="e">
        <f t="shared" si="390"/>
        <v>#NUM!</v>
      </c>
      <c r="AQ464" s="51" t="e">
        <f t="shared" si="391"/>
        <v>#NUM!</v>
      </c>
      <c r="AR464" s="63" t="e">
        <f t="shared" si="392"/>
        <v>#NUM!</v>
      </c>
      <c r="AS464" s="32" t="str">
        <f t="shared" si="368"/>
        <v>-0.000170731707317073</v>
      </c>
      <c r="AT464" s="32" t="str">
        <f t="shared" si="369"/>
        <v>0.068859436590375i</v>
      </c>
      <c r="AU464" s="32">
        <f t="shared" si="393"/>
        <v>6.8859436590374995E-2</v>
      </c>
      <c r="AV464" s="32">
        <f t="shared" si="394"/>
        <v>1.5707963267948966</v>
      </c>
      <c r="AW464" s="32" t="str">
        <f t="shared" si="370"/>
        <v>1+14.6607653638123i</v>
      </c>
      <c r="AX464" s="32">
        <f t="shared" si="395"/>
        <v>14.69483041932633</v>
      </c>
      <c r="AY464" s="32">
        <f t="shared" si="396"/>
        <v>1.502692550796316</v>
      </c>
      <c r="AZ464" s="32" t="str">
        <f t="shared" si="371"/>
        <v>1+278.554541912434i</v>
      </c>
      <c r="BA464" s="32">
        <f t="shared" si="397"/>
        <v>278.5563368872551</v>
      </c>
      <c r="BB464" s="32">
        <f t="shared" si="398"/>
        <v>1.5672063810082395</v>
      </c>
      <c r="BC464" s="60" t="str">
        <f t="shared" si="399"/>
        <v>-0.00303005637959549+0.0469023691499708i</v>
      </c>
      <c r="BD464" s="51">
        <f t="shared" si="400"/>
        <v>-26.558016352069632</v>
      </c>
      <c r="BE464" s="63">
        <f t="shared" si="401"/>
        <v>93.696370191366782</v>
      </c>
      <c r="BF464" s="60" t="str">
        <f t="shared" si="402"/>
        <v>0.000377886933972227-0.00464758551102939i</v>
      </c>
      <c r="BG464" s="66">
        <f t="shared" si="403"/>
        <v>-46.626835378981781</v>
      </c>
      <c r="BH464" s="63">
        <f t="shared" si="404"/>
        <v>-85.351607353829138</v>
      </c>
      <c r="BI464" s="60" t="e">
        <f t="shared" si="409"/>
        <v>#NUM!</v>
      </c>
      <c r="BJ464" s="66" t="e">
        <f t="shared" si="405"/>
        <v>#NUM!</v>
      </c>
      <c r="BK464" s="63" t="e">
        <f t="shared" si="410"/>
        <v>#NUM!</v>
      </c>
      <c r="BL464" s="51">
        <f t="shared" si="406"/>
        <v>-46.626835378981781</v>
      </c>
      <c r="BM464" s="63">
        <f t="shared" si="407"/>
        <v>-85.351607353829138</v>
      </c>
    </row>
    <row r="465" spans="14:65" x14ac:dyDescent="0.3">
      <c r="N465" s="11">
        <v>47</v>
      </c>
      <c r="O465" s="52">
        <f t="shared" si="408"/>
        <v>295120.92266663886</v>
      </c>
      <c r="P465" s="50" t="str">
        <f t="shared" si="360"/>
        <v>23.3035714285714</v>
      </c>
      <c r="Q465" s="18" t="str">
        <f t="shared" si="361"/>
        <v>1+993.374702753736i</v>
      </c>
      <c r="R465" s="18">
        <f t="shared" si="372"/>
        <v>993.37520608835064</v>
      </c>
      <c r="S465" s="18">
        <f t="shared" si="373"/>
        <v>1.5697896576503798</v>
      </c>
      <c r="T465" s="18" t="str">
        <f t="shared" si="362"/>
        <v>1+1.85429944514031i</v>
      </c>
      <c r="U465" s="18">
        <f t="shared" si="374"/>
        <v>2.1067573263780672</v>
      </c>
      <c r="V465" s="18">
        <f t="shared" si="375"/>
        <v>1.0762150829346488</v>
      </c>
      <c r="W465" s="32" t="str">
        <f t="shared" si="363"/>
        <v>1-4.53273197700965i</v>
      </c>
      <c r="X465" s="18">
        <f t="shared" si="376"/>
        <v>4.6417301920087741</v>
      </c>
      <c r="Y465" s="18">
        <f t="shared" si="377"/>
        <v>-1.3536571048026924</v>
      </c>
      <c r="Z465" s="32" t="str">
        <f t="shared" si="364"/>
        <v>0.651614564017566+2.22464940182096i</v>
      </c>
      <c r="AA465" s="18">
        <f t="shared" si="378"/>
        <v>2.3181170162574101</v>
      </c>
      <c r="AB465" s="18">
        <f t="shared" si="379"/>
        <v>1.2858598466430831</v>
      </c>
      <c r="AC465" s="68" t="str">
        <f t="shared" si="380"/>
        <v>-0.0989583683761534-0.00084127796591136i</v>
      </c>
      <c r="AD465" s="66">
        <f t="shared" si="381"/>
        <v>-20.090635614407205</v>
      </c>
      <c r="AE465" s="63">
        <f t="shared" si="382"/>
        <v>-179.51292127725631</v>
      </c>
      <c r="AF465" s="51" t="e">
        <f t="shared" si="383"/>
        <v>#NUM!</v>
      </c>
      <c r="AG465" s="51" t="str">
        <f t="shared" si="365"/>
        <v>1-1390.72458385524i</v>
      </c>
      <c r="AH465" s="51">
        <f t="shared" si="384"/>
        <v>1390.7249433800096</v>
      </c>
      <c r="AI465" s="51">
        <f t="shared" si="385"/>
        <v>-1.5700772772869891</v>
      </c>
      <c r="AJ465" s="51" t="str">
        <f t="shared" si="366"/>
        <v>1+1.85429944514031i</v>
      </c>
      <c r="AK465" s="51">
        <f t="shared" si="386"/>
        <v>2.1067573263780672</v>
      </c>
      <c r="AL465" s="51">
        <f t="shared" si="387"/>
        <v>1.0762150829346488</v>
      </c>
      <c r="AM465" s="51" t="e">
        <f t="shared" si="367"/>
        <v>#NUM!</v>
      </c>
      <c r="AN465" s="51" t="e">
        <f t="shared" si="388"/>
        <v>#NUM!</v>
      </c>
      <c r="AO465" s="51" t="e">
        <f t="shared" si="389"/>
        <v>#NUM!</v>
      </c>
      <c r="AP465" s="60" t="e">
        <f t="shared" si="390"/>
        <v>#NUM!</v>
      </c>
      <c r="AQ465" s="51" t="e">
        <f t="shared" si="391"/>
        <v>#NUM!</v>
      </c>
      <c r="AR465" s="63" t="e">
        <f t="shared" si="392"/>
        <v>#NUM!</v>
      </c>
      <c r="AS465" s="32" t="str">
        <f t="shared" si="368"/>
        <v>-0.000170731707317073</v>
      </c>
      <c r="AT465" s="32" t="str">
        <f t="shared" si="369"/>
        <v>0.0704633789153317i</v>
      </c>
      <c r="AU465" s="32">
        <f t="shared" si="393"/>
        <v>7.0463378915331706E-2</v>
      </c>
      <c r="AV465" s="32">
        <f t="shared" si="394"/>
        <v>1.5707963267948966</v>
      </c>
      <c r="AW465" s="32" t="str">
        <f t="shared" si="370"/>
        <v>1+15.0022584582615i</v>
      </c>
      <c r="AX465" s="32">
        <f t="shared" si="395"/>
        <v>15.035549835256399</v>
      </c>
      <c r="AY465" s="32">
        <f t="shared" si="396"/>
        <v>1.5042381546994912</v>
      </c>
      <c r="AZ465" s="32" t="str">
        <f t="shared" si="371"/>
        <v>1+285.042910706969i</v>
      </c>
      <c r="BA465" s="32">
        <f t="shared" si="397"/>
        <v>285.04466482342917</v>
      </c>
      <c r="BB465" s="32">
        <f t="shared" si="398"/>
        <v>1.5672880974726562</v>
      </c>
      <c r="BC465" s="60" t="str">
        <f t="shared" si="399"/>
        <v>-0.00289428462608776+0.0458437909719784i</v>
      </c>
      <c r="BD465" s="51">
        <f t="shared" si="400"/>
        <v>-26.757113587917608</v>
      </c>
      <c r="BE465" s="63">
        <f t="shared" si="401"/>
        <v>93.612495619443735</v>
      </c>
      <c r="BF465" s="60" t="str">
        <f t="shared" si="402"/>
        <v>0.000324981055432402-0.00453419185688141i</v>
      </c>
      <c r="BG465" s="66">
        <f t="shared" si="403"/>
        <v>-46.847749202324813</v>
      </c>
      <c r="BH465" s="63">
        <f t="shared" si="404"/>
        <v>-85.900425657812562</v>
      </c>
      <c r="BI465" s="60" t="e">
        <f t="shared" si="409"/>
        <v>#NUM!</v>
      </c>
      <c r="BJ465" s="66" t="e">
        <f t="shared" si="405"/>
        <v>#NUM!</v>
      </c>
      <c r="BK465" s="63" t="e">
        <f t="shared" si="410"/>
        <v>#NUM!</v>
      </c>
      <c r="BL465" s="51">
        <f t="shared" si="406"/>
        <v>-46.847749202324813</v>
      </c>
      <c r="BM465" s="63">
        <f t="shared" si="407"/>
        <v>-85.900425657812562</v>
      </c>
    </row>
    <row r="466" spans="14:65" x14ac:dyDescent="0.3">
      <c r="N466" s="11">
        <v>48</v>
      </c>
      <c r="O466" s="52">
        <f t="shared" si="408"/>
        <v>301995.17204020242</v>
      </c>
      <c r="P466" s="50" t="str">
        <f t="shared" si="360"/>
        <v>23.3035714285714</v>
      </c>
      <c r="Q466" s="18" t="str">
        <f t="shared" si="361"/>
        <v>1+1016.51337203688i</v>
      </c>
      <c r="R466" s="18">
        <f t="shared" si="372"/>
        <v>1016.5138639142058</v>
      </c>
      <c r="S466" s="18">
        <f t="shared" si="373"/>
        <v>1.5698125722227307</v>
      </c>
      <c r="T466" s="18" t="str">
        <f t="shared" si="362"/>
        <v>1+1.89749162780217i</v>
      </c>
      <c r="U466" s="18">
        <f t="shared" si="374"/>
        <v>2.1448716692565384</v>
      </c>
      <c r="V466" s="18">
        <f t="shared" si="375"/>
        <v>1.0857737192683083</v>
      </c>
      <c r="W466" s="32" t="str">
        <f t="shared" si="363"/>
        <v>1-4.63831286796086i</v>
      </c>
      <c r="X466" s="18">
        <f t="shared" si="376"/>
        <v>4.7448863275205335</v>
      </c>
      <c r="Y466" s="18">
        <f t="shared" si="377"/>
        <v>-1.358450919919155</v>
      </c>
      <c r="Z466" s="32" t="str">
        <f t="shared" si="364"/>
        <v>0.635195664257634+2.27646814316496i</v>
      </c>
      <c r="AA466" s="18">
        <f t="shared" si="378"/>
        <v>2.3634256363881256</v>
      </c>
      <c r="AB466" s="18">
        <f t="shared" si="379"/>
        <v>1.2986902821157389</v>
      </c>
      <c r="AC466" s="68" t="str">
        <f t="shared" si="380"/>
        <v>-0.0987175400974665-0.0000407307211980578i</v>
      </c>
      <c r="AD466" s="66">
        <f t="shared" si="381"/>
        <v>-20.112112764365232</v>
      </c>
      <c r="AE466" s="63">
        <f t="shared" si="382"/>
        <v>-179.97635984155966</v>
      </c>
      <c r="AF466" s="51" t="e">
        <f t="shared" si="383"/>
        <v>#NUM!</v>
      </c>
      <c r="AG466" s="51" t="str">
        <f t="shared" si="365"/>
        <v>1-1423.11872085163i</v>
      </c>
      <c r="AH466" s="51">
        <f t="shared" si="384"/>
        <v>1423.1190721926187</v>
      </c>
      <c r="AI466" s="51">
        <f t="shared" si="385"/>
        <v>-1.570093644846609</v>
      </c>
      <c r="AJ466" s="51" t="str">
        <f t="shared" si="366"/>
        <v>1+1.89749162780217i</v>
      </c>
      <c r="AK466" s="51">
        <f t="shared" si="386"/>
        <v>2.1448716692565384</v>
      </c>
      <c r="AL466" s="51">
        <f t="shared" si="387"/>
        <v>1.0857737192683083</v>
      </c>
      <c r="AM466" s="51" t="e">
        <f t="shared" si="367"/>
        <v>#NUM!</v>
      </c>
      <c r="AN466" s="51" t="e">
        <f t="shared" si="388"/>
        <v>#NUM!</v>
      </c>
      <c r="AO466" s="51" t="e">
        <f t="shared" si="389"/>
        <v>#NUM!</v>
      </c>
      <c r="AP466" s="60" t="e">
        <f t="shared" si="390"/>
        <v>#NUM!</v>
      </c>
      <c r="AQ466" s="51" t="e">
        <f t="shared" si="391"/>
        <v>#NUM!</v>
      </c>
      <c r="AR466" s="63" t="e">
        <f t="shared" si="392"/>
        <v>#NUM!</v>
      </c>
      <c r="AS466" s="32" t="str">
        <f t="shared" si="368"/>
        <v>-0.000170731707317073</v>
      </c>
      <c r="AT466" s="32" t="str">
        <f t="shared" si="369"/>
        <v>0.0721046818564825i</v>
      </c>
      <c r="AU466" s="32">
        <f t="shared" si="393"/>
        <v>7.21046818564825E-2</v>
      </c>
      <c r="AV466" s="32">
        <f t="shared" si="394"/>
        <v>1.5707963267948966</v>
      </c>
      <c r="AW466" s="32" t="str">
        <f t="shared" si="370"/>
        <v>1+15.3517059487236i</v>
      </c>
      <c r="AX466" s="32">
        <f t="shared" si="395"/>
        <v>15.384241142678295</v>
      </c>
      <c r="AY466" s="32">
        <f t="shared" si="396"/>
        <v>1.5057488841586262</v>
      </c>
      <c r="AZ466" s="32" t="str">
        <f t="shared" si="371"/>
        <v>1+291.68241302575i</v>
      </c>
      <c r="BA466" s="32">
        <f t="shared" si="397"/>
        <v>291.68412721388216</v>
      </c>
      <c r="BB466" s="32">
        <f t="shared" si="398"/>
        <v>1.5673679538885223</v>
      </c>
      <c r="BC466" s="60" t="str">
        <f t="shared" si="399"/>
        <v>-0.002764570753052+0.0448087083636696i</v>
      </c>
      <c r="BD466" s="51">
        <f t="shared" si="400"/>
        <v>-26.956251278654278</v>
      </c>
      <c r="BE466" s="63">
        <f t="shared" si="401"/>
        <v>93.530512633045348</v>
      </c>
      <c r="BF466" s="60" t="str">
        <f t="shared" si="402"/>
        <v>0.0002747367151743-0.00442329286164566i</v>
      </c>
      <c r="BG466" s="66">
        <f t="shared" si="403"/>
        <v>-47.068364043019514</v>
      </c>
      <c r="BH466" s="63">
        <f t="shared" si="404"/>
        <v>-86.445847208514294</v>
      </c>
      <c r="BI466" s="60" t="e">
        <f t="shared" si="409"/>
        <v>#NUM!</v>
      </c>
      <c r="BJ466" s="66" t="e">
        <f t="shared" si="405"/>
        <v>#NUM!</v>
      </c>
      <c r="BK466" s="63" t="e">
        <f t="shared" si="410"/>
        <v>#NUM!</v>
      </c>
      <c r="BL466" s="51">
        <f t="shared" si="406"/>
        <v>-47.068364043019514</v>
      </c>
      <c r="BM466" s="63">
        <f t="shared" si="407"/>
        <v>-86.445847208514294</v>
      </c>
    </row>
    <row r="467" spans="14:65" x14ac:dyDescent="0.3">
      <c r="N467" s="11">
        <v>49</v>
      </c>
      <c r="O467" s="52">
        <f t="shared" si="408"/>
        <v>309029.54325135931</v>
      </c>
      <c r="P467" s="50" t="str">
        <f t="shared" ref="P467:P530" si="411">COMPLEX(Adc,0)</f>
        <v>23.3035714285714</v>
      </c>
      <c r="Q467" s="18" t="str">
        <f t="shared" ref="Q467:Q530" si="412">IMSUM(COMPLEX(1,0),IMDIV(COMPLEX(0,2*PI()*O467),COMPLEX(wp_lf,0)))</f>
        <v>1+1040.19101016501i</v>
      </c>
      <c r="R467" s="18">
        <f t="shared" si="372"/>
        <v>1040.1914908458461</v>
      </c>
      <c r="S467" s="18">
        <f t="shared" si="373"/>
        <v>1.5698349651967327</v>
      </c>
      <c r="T467" s="18" t="str">
        <f t="shared" ref="T467:T530" si="413">IMSUM(COMPLEX(1,0),IMDIV(COMPLEX(0,2*PI()*O467),COMPLEX(wz_esr,0)))</f>
        <v>1+1.94168988564136i</v>
      </c>
      <c r="U467" s="18">
        <f t="shared" si="374"/>
        <v>2.1840695071361531</v>
      </c>
      <c r="V467" s="18">
        <f t="shared" si="375"/>
        <v>1.09520876101894</v>
      </c>
      <c r="W467" s="32" t="str">
        <f t="shared" ref="W467:W530" si="414">IMSUB(COMPLEX(1,0),IMDIV(COMPLEX(0,2*PI()*O467),COMPLEX(wz_rhp,0)))</f>
        <v>1-4.74635305378999i</v>
      </c>
      <c r="X467" s="18">
        <f t="shared" si="376"/>
        <v>4.850553299492911</v>
      </c>
      <c r="Y467" s="18">
        <f t="shared" si="377"/>
        <v>-1.3631452089277887</v>
      </c>
      <c r="Z467" s="32" t="str">
        <f t="shared" ref="Z467:Z530" si="415">IMSUM(COMPLEX(1,0),IMDIV(COMPLEX(0,2*PI()*O467),COMPLEX(Q*(wsl/2),0)),IMDIV(IMPOWER(COMPLEX(0,2*PI()*O467),2),IMPOWER(COMPLEX(wsl/2,0),2)))</f>
        <v>0.618002965591424+2.32949389805108i</v>
      </c>
      <c r="AA467" s="18">
        <f t="shared" si="378"/>
        <v>2.4100766557387776</v>
      </c>
      <c r="AB467" s="18">
        <f t="shared" si="379"/>
        <v>1.3114750208343988</v>
      </c>
      <c r="AC467" s="68" t="str">
        <f t="shared" si="380"/>
        <v>-0.0984744009909364+0.000753716153011351i</v>
      </c>
      <c r="AD467" s="66">
        <f t="shared" si="381"/>
        <v>-20.133278631809709</v>
      </c>
      <c r="AE467" s="63">
        <f t="shared" si="382"/>
        <v>179.56147068861407</v>
      </c>
      <c r="AF467" s="51" t="e">
        <f t="shared" si="383"/>
        <v>#NUM!</v>
      </c>
      <c r="AG467" s="51" t="str">
        <f t="shared" ref="AG467:AG530" si="416">IMSUM(COMPLEX(1,0),IMDIV(COMPLEX(0,2*PI()*O467),COMPLEX(wp_lf_DCM,0)))</f>
        <v>1-1456.26741423102i</v>
      </c>
      <c r="AH467" s="51">
        <f t="shared" si="384"/>
        <v>1456.2677575745131</v>
      </c>
      <c r="AI467" s="51">
        <f t="shared" si="385"/>
        <v>-1.5701096398354495</v>
      </c>
      <c r="AJ467" s="51" t="str">
        <f t="shared" ref="AJ467:AJ530" si="417">IMSUM(COMPLEX(1,0),IMDIV(COMPLEX(0,2*PI()*O467),COMPLEX(wz1_dcm,0)))</f>
        <v>1+1.94168988564136i</v>
      </c>
      <c r="AK467" s="51">
        <f t="shared" si="386"/>
        <v>2.1840695071361531</v>
      </c>
      <c r="AL467" s="51">
        <f t="shared" si="387"/>
        <v>1.09520876101894</v>
      </c>
      <c r="AM467" s="51" t="e">
        <f t="shared" ref="AM467:AM530" si="418">IMSUB(COMPLEX(1,0),IMDIV(COMPLEX(0,2*PI()*O467),COMPLEX(wz2_dcm,0)))</f>
        <v>#NUM!</v>
      </c>
      <c r="AN467" s="51" t="e">
        <f t="shared" si="388"/>
        <v>#NUM!</v>
      </c>
      <c r="AO467" s="51" t="e">
        <f t="shared" si="389"/>
        <v>#NUM!</v>
      </c>
      <c r="AP467" s="60" t="e">
        <f t="shared" si="390"/>
        <v>#NUM!</v>
      </c>
      <c r="AQ467" s="51" t="e">
        <f t="shared" si="391"/>
        <v>#NUM!</v>
      </c>
      <c r="AR467" s="63" t="e">
        <f t="shared" si="392"/>
        <v>#NUM!</v>
      </c>
      <c r="AS467" s="32" t="str">
        <f t="shared" ref="AS467:AS530" si="419">COMPLEX(Adc_ea,0)</f>
        <v>-0.000170731707317073</v>
      </c>
      <c r="AT467" s="32" t="str">
        <f t="shared" ref="AT467:AT530" si="420">COMPLEX(0,2*PI()*O467*wp0_ea)</f>
        <v>0.0737842156543717i</v>
      </c>
      <c r="AU467" s="32">
        <f t="shared" si="393"/>
        <v>7.3784215654371696E-2</v>
      </c>
      <c r="AV467" s="32">
        <f t="shared" si="394"/>
        <v>1.5707963267948966</v>
      </c>
      <c r="AW467" s="32" t="str">
        <f t="shared" ref="AW467:AW530" si="421">IMSUM(COMPLEX(1,0),IMDIV(COMPLEX(0,2*PI()*O467),COMPLEX(wp1_ea,0)))</f>
        <v>1+15.7092931168837i</v>
      </c>
      <c r="AX467" s="32">
        <f t="shared" si="395"/>
        <v>15.74108923271098</v>
      </c>
      <c r="AY467" s="32">
        <f t="shared" si="396"/>
        <v>1.5072255125834011</v>
      </c>
      <c r="AZ467" s="32" t="str">
        <f t="shared" ref="AZ467:AZ530" si="422">IMSUM(COMPLEX(1,0),IMDIV(COMPLEX(0,2*PI()*O467),COMPLEX(wz_ea,0)))</f>
        <v>1+298.47656922079i</v>
      </c>
      <c r="BA467" s="32">
        <f t="shared" si="397"/>
        <v>298.47824438945804</v>
      </c>
      <c r="BB467" s="32">
        <f t="shared" si="398"/>
        <v>1.5674459925926909</v>
      </c>
      <c r="BC467" s="60" t="str">
        <f t="shared" si="399"/>
        <v>-0.00264064673280276+0.0437966262162345i</v>
      </c>
      <c r="BD467" s="51">
        <f t="shared" si="400"/>
        <v>-27.15542761894859</v>
      </c>
      <c r="BE467" s="63">
        <f t="shared" si="401"/>
        <v>93.450379344784281</v>
      </c>
      <c r="BF467" s="60" t="str">
        <f t="shared" si="402"/>
        <v>0.000227025880614849-0.00431483683016454i</v>
      </c>
      <c r="BG467" s="66">
        <f t="shared" si="403"/>
        <v>-47.28870625075831</v>
      </c>
      <c r="BH467" s="63">
        <f t="shared" si="404"/>
        <v>-86.98814996660164</v>
      </c>
      <c r="BI467" s="60" t="e">
        <f t="shared" si="409"/>
        <v>#NUM!</v>
      </c>
      <c r="BJ467" s="66" t="e">
        <f t="shared" si="405"/>
        <v>#NUM!</v>
      </c>
      <c r="BK467" s="63" t="e">
        <f t="shared" si="410"/>
        <v>#NUM!</v>
      </c>
      <c r="BL467" s="51">
        <f t="shared" si="406"/>
        <v>-47.28870625075831</v>
      </c>
      <c r="BM467" s="63">
        <f t="shared" si="407"/>
        <v>-86.98814996660164</v>
      </c>
    </row>
    <row r="468" spans="14:65" x14ac:dyDescent="0.3">
      <c r="N468" s="11">
        <v>50</v>
      </c>
      <c r="O468" s="52">
        <f t="shared" si="408"/>
        <v>316227.7660168382</v>
      </c>
      <c r="P468" s="50" t="str">
        <f t="shared" si="411"/>
        <v>23.3035714285714</v>
      </c>
      <c r="Q468" s="18" t="str">
        <f t="shared" si="412"/>
        <v>1+1064.42017133529i</v>
      </c>
      <c r="R468" s="18">
        <f t="shared" ref="R468:R531" si="423">IMABS(Q468)</f>
        <v>1064.4206410744991</v>
      </c>
      <c r="S468" s="18">
        <f t="shared" ref="S468:S531" si="424">IMARGUMENT(Q468)</f>
        <v>1.569856848445347</v>
      </c>
      <c r="T468" s="18" t="str">
        <f t="shared" si="413"/>
        <v>1+1.98691765315922i</v>
      </c>
      <c r="U468" s="18">
        <f t="shared" ref="U468:U531" si="425">IMABS(T468)</f>
        <v>2.2243744649756576</v>
      </c>
      <c r="V468" s="18">
        <f t="shared" ref="V468:V531" si="426">IMARGUMENT(T468)</f>
        <v>1.1045184906420491</v>
      </c>
      <c r="W468" s="32" t="str">
        <f t="shared" si="414"/>
        <v>1-4.85690981883365i</v>
      </c>
      <c r="X468" s="18">
        <f t="shared" ref="X468:X531" si="427">IMABS(W468)</f>
        <v>4.958787451412161</v>
      </c>
      <c r="Y468" s="18">
        <f t="shared" ref="Y468:Y531" si="428">IMARGUMENT(W468)</f>
        <v>-1.3677416328586454</v>
      </c>
      <c r="Z468" s="32" t="str">
        <f t="shared" si="415"/>
        <v>0.6+2.38375478143645i</v>
      </c>
      <c r="AA468" s="18">
        <f t="shared" ref="AA468:AA531" si="429">IMABS(Z468)</f>
        <v>2.4581063561247989</v>
      </c>
      <c r="AB468" s="18">
        <f t="shared" ref="AB468:AB531" si="430">IMARGUMENT(Z468)</f>
        <v>1.3242147851288328</v>
      </c>
      <c r="AC468" s="68" t="str">
        <f t="shared" ref="AC468:AC531" si="431">(IMDIV(IMPRODUCT(P468,T468,W468),IMPRODUCT(Q468,Z468)))</f>
        <v>-0.0982286963373267+0.0015425257689402i</v>
      </c>
      <c r="AD468" s="66">
        <f t="shared" ref="AD468:AD531" si="432">20*LOG(IMABS(AC468))</f>
        <v>-20.154161569005716</v>
      </c>
      <c r="AE468" s="63">
        <f t="shared" ref="AE468:AE531" si="433">(180/PI())*IMARGUMENT(AC468)</f>
        <v>179.10033466848498</v>
      </c>
      <c r="AF468" s="51" t="e">
        <f t="shared" ref="AF468:AF531" si="434">COMPLEX($B$68,0)</f>
        <v>#NUM!</v>
      </c>
      <c r="AG468" s="51" t="str">
        <f t="shared" si="416"/>
        <v>1-1490.18823986942i</v>
      </c>
      <c r="AH468" s="51">
        <f t="shared" ref="AH468:AH531" si="435">IMABS(AG468)</f>
        <v>1490.188575397463</v>
      </c>
      <c r="AI468" s="51">
        <f t="shared" ref="AI468:AI531" si="436">IMARGUMENT(AG468)</f>
        <v>-1.5701252707342326</v>
      </c>
      <c r="AJ468" s="51" t="str">
        <f t="shared" si="417"/>
        <v>1+1.98691765315922i</v>
      </c>
      <c r="AK468" s="51">
        <f t="shared" ref="AK468:AK531" si="437">IMABS(AJ468)</f>
        <v>2.2243744649756576</v>
      </c>
      <c r="AL468" s="51">
        <f t="shared" ref="AL468:AL531" si="438">IMARGUMENT(AJ468)</f>
        <v>1.1045184906420491</v>
      </c>
      <c r="AM468" s="51" t="e">
        <f t="shared" si="418"/>
        <v>#NUM!</v>
      </c>
      <c r="AN468" s="51" t="e">
        <f t="shared" ref="AN468:AN531" si="439">IMABS(AM468)</f>
        <v>#NUM!</v>
      </c>
      <c r="AO468" s="51" t="e">
        <f t="shared" ref="AO468:AO531" si="440">IMARGUMENT(AM468)</f>
        <v>#NUM!</v>
      </c>
      <c r="AP468" s="60" t="e">
        <f t="shared" ref="AP468:AP531" si="441">(IMDIV(IMPRODUCT(AF468,AJ468,AM468),IMPRODUCT(AG468)))</f>
        <v>#NUM!</v>
      </c>
      <c r="AQ468" s="51" t="e">
        <f t="shared" ref="AQ468:AQ531" si="442">20*LOG(IMABS(AP468))</f>
        <v>#NUM!</v>
      </c>
      <c r="AR468" s="63" t="e">
        <f t="shared" ref="AR468:AR531" si="443">(180/PI())*IMARGUMENT(AP468)</f>
        <v>#NUM!</v>
      </c>
      <c r="AS468" s="32" t="str">
        <f t="shared" si="419"/>
        <v>-0.000170731707317073</v>
      </c>
      <c r="AT468" s="32" t="str">
        <f t="shared" si="420"/>
        <v>0.0755028708200504i</v>
      </c>
      <c r="AU468" s="32">
        <f t="shared" ref="AU468:AU531" si="444">IMABS(AT468)</f>
        <v>7.5502870820050402E-2</v>
      </c>
      <c r="AV468" s="32">
        <f t="shared" ref="AV468:AV531" si="445">IMARGUMENT(AT468)</f>
        <v>1.5707963267948966</v>
      </c>
      <c r="AW468" s="32" t="str">
        <f t="shared" si="421"/>
        <v>1+16.0752095601913i</v>
      </c>
      <c r="AX468" s="32">
        <f t="shared" ref="AX468:AX531" si="446">IMABS(AW468)</f>
        <v>16.106283320619497</v>
      </c>
      <c r="AY468" s="32">
        <f t="shared" ref="AY468:AY531" si="447">IMARGUMENT(AW468)</f>
        <v>1.5086687971297374</v>
      </c>
      <c r="AZ468" s="32" t="str">
        <f t="shared" si="422"/>
        <v>1+305.428981643635i</v>
      </c>
      <c r="BA468" s="32">
        <f t="shared" ref="BA468:BA531" si="448">IMABS(AZ468)</f>
        <v>305.43061868101552</v>
      </c>
      <c r="BB468" s="32">
        <f t="shared" ref="BB468:BB531" si="449">IMARGUMENT(AZ468)</f>
        <v>1.5675222549585111</v>
      </c>
      <c r="BC468" s="60" t="str">
        <f t="shared" ref="BC468:BC531" si="450">IMPRODUCT(AS468,IMDIV(AZ468,IMPRODUCT(AT468,AW468)))</f>
        <v>-0.00252225619791438+0.0428070580803128i</v>
      </c>
      <c r="BD468" s="51">
        <f t="shared" ref="BD468:BD531" si="451">20*LOG(IMABS(BC468))</f>
        <v>-27.354640883372547</v>
      </c>
      <c r="BE468" s="63">
        <f t="shared" ref="BE468:BE531" si="452">(180/PI())*IMARGUMENT(BC468)</f>
        <v>93.372054743339916</v>
      </c>
      <c r="BF468" s="60" t="str">
        <f t="shared" ref="BF468:BF531" si="453">IMPRODUCT(AC468,BC468)</f>
        <v>0.000181726947968469-0.00420877215444651i</v>
      </c>
      <c r="BG468" s="66">
        <f t="shared" ref="BG468:BG531" si="454">20*LOG(IMABS(BF468))</f>
        <v>-47.508802452378248</v>
      </c>
      <c r="BH468" s="63">
        <f t="shared" ref="BH468:BH531" si="455">(180/PI())*IMARGUMENT(BF468)</f>
        <v>-87.527610588175094</v>
      </c>
      <c r="BI468" s="60" t="e">
        <f t="shared" si="409"/>
        <v>#NUM!</v>
      </c>
      <c r="BJ468" s="66" t="e">
        <f t="shared" ref="BJ468:BJ531" si="456">20*LOG(IMABS(BI468))</f>
        <v>#NUM!</v>
      </c>
      <c r="BK468" s="63" t="e">
        <f t="shared" si="410"/>
        <v>#NUM!</v>
      </c>
      <c r="BL468" s="51">
        <f t="shared" ref="BL468:BL531" si="457">IF($B$31=0,BJ468,BG468)</f>
        <v>-47.508802452378248</v>
      </c>
      <c r="BM468" s="63">
        <f t="shared" ref="BM468:BM531" si="458">IF($B$31=0,BK468,BH468)</f>
        <v>-87.527610588175094</v>
      </c>
    </row>
    <row r="469" spans="14:65" x14ac:dyDescent="0.3">
      <c r="N469" s="11">
        <v>51</v>
      </c>
      <c r="O469" s="52">
        <f t="shared" si="408"/>
        <v>323593.65692962846</v>
      </c>
      <c r="P469" s="50" t="str">
        <f t="shared" si="411"/>
        <v>23.3035714285714</v>
      </c>
      <c r="Q469" s="18" t="str">
        <f t="shared" si="412"/>
        <v>1+1089.21370216969i</v>
      </c>
      <c r="R469" s="18">
        <f t="shared" si="423"/>
        <v>1089.2141612163339</v>
      </c>
      <c r="S469" s="18">
        <f t="shared" si="424"/>
        <v>1.5698782335712775</v>
      </c>
      <c r="T469" s="18" t="str">
        <f t="shared" si="413"/>
        <v>1+2.03319891071675i</v>
      </c>
      <c r="U469" s="18">
        <f t="shared" si="425"/>
        <v>2.2658106298938092</v>
      </c>
      <c r="V469" s="18">
        <f t="shared" si="426"/>
        <v>1.1137013882961257</v>
      </c>
      <c r="W469" s="32" t="str">
        <f t="shared" si="414"/>
        <v>1-4.97004178175206i</v>
      </c>
      <c r="X469" s="18">
        <f t="shared" si="427"/>
        <v>5.0696464681830804</v>
      </c>
      <c r="Y469" s="18">
        <f t="shared" si="428"/>
        <v>-1.3722418515590113</v>
      </c>
      <c r="Z469" s="32" t="str">
        <f t="shared" si="415"/>
        <v>0.58114858077964+2.43927956315965i</v>
      </c>
      <c r="AA469" s="18">
        <f t="shared" si="429"/>
        <v>2.5075522846374554</v>
      </c>
      <c r="AB469" s="18">
        <f t="shared" si="430"/>
        <v>1.3369104839462089</v>
      </c>
      <c r="AC469" s="68" t="str">
        <f t="shared" si="431"/>
        <v>-0.0979801581170062+0.00232614557144927i</v>
      </c>
      <c r="AD469" s="66">
        <f t="shared" si="432"/>
        <v>-20.174790136987689</v>
      </c>
      <c r="AE469" s="63">
        <f t="shared" si="433"/>
        <v>178.63999717168227</v>
      </c>
      <c r="AF469" s="51" t="e">
        <f t="shared" si="434"/>
        <v>#NUM!</v>
      </c>
      <c r="AG469" s="51" t="str">
        <f t="shared" si="416"/>
        <v>1-1524.89918303757i</v>
      </c>
      <c r="AH469" s="51">
        <f t="shared" si="435"/>
        <v>1524.8995109280638</v>
      </c>
      <c r="AI469" s="51">
        <f t="shared" si="436"/>
        <v>-1.5701405458306374</v>
      </c>
      <c r="AJ469" s="51" t="str">
        <f t="shared" si="417"/>
        <v>1+2.03319891071675i</v>
      </c>
      <c r="AK469" s="51">
        <f t="shared" si="437"/>
        <v>2.2658106298938092</v>
      </c>
      <c r="AL469" s="51">
        <f t="shared" si="438"/>
        <v>1.1137013882961257</v>
      </c>
      <c r="AM469" s="51" t="e">
        <f t="shared" si="418"/>
        <v>#NUM!</v>
      </c>
      <c r="AN469" s="51" t="e">
        <f t="shared" si="439"/>
        <v>#NUM!</v>
      </c>
      <c r="AO469" s="51" t="e">
        <f t="shared" si="440"/>
        <v>#NUM!</v>
      </c>
      <c r="AP469" s="60" t="e">
        <f t="shared" si="441"/>
        <v>#NUM!</v>
      </c>
      <c r="AQ469" s="51" t="e">
        <f t="shared" si="442"/>
        <v>#NUM!</v>
      </c>
      <c r="AR469" s="63" t="e">
        <f t="shared" si="443"/>
        <v>#NUM!</v>
      </c>
      <c r="AS469" s="32" t="str">
        <f t="shared" si="419"/>
        <v>-0.000170731707317073</v>
      </c>
      <c r="AT469" s="32" t="str">
        <f t="shared" si="420"/>
        <v>0.0772615586072366i</v>
      </c>
      <c r="AU469" s="32">
        <f t="shared" si="444"/>
        <v>7.7261558607236602E-2</v>
      </c>
      <c r="AV469" s="32">
        <f t="shared" si="445"/>
        <v>1.5707963267948966</v>
      </c>
      <c r="AW469" s="32" t="str">
        <f t="shared" si="421"/>
        <v>1+16.4496492923883i</v>
      </c>
      <c r="AX469" s="32">
        <f t="shared" si="446"/>
        <v>16.48001704618569</v>
      </c>
      <c r="AY469" s="32">
        <f t="shared" si="447"/>
        <v>1.510079478980934</v>
      </c>
      <c r="AZ469" s="32" t="str">
        <f t="shared" si="422"/>
        <v>1+312.543336555379i</v>
      </c>
      <c r="BA469" s="32">
        <f t="shared" si="448"/>
        <v>312.54493632943235</v>
      </c>
      <c r="BB469" s="32">
        <f t="shared" si="449"/>
        <v>1.5675967814177487</v>
      </c>
      <c r="BC469" s="60" t="str">
        <f t="shared" si="450"/>
        <v>-0.00240915395140628+0.0418395261387903i</v>
      </c>
      <c r="BD469" s="51">
        <f t="shared" si="451"/>
        <v>-27.553889422922797</v>
      </c>
      <c r="BE469" s="63">
        <f t="shared" si="452"/>
        <v>93.295498678607004</v>
      </c>
      <c r="BF469" s="60" t="str">
        <f t="shared" si="453"/>
        <v>0.000138724456647715-0.00410504742941429i</v>
      </c>
      <c r="BG469" s="66">
        <f t="shared" si="454"/>
        <v>-47.728679559910489</v>
      </c>
      <c r="BH469" s="63">
        <f t="shared" si="455"/>
        <v>-88.064504149710714</v>
      </c>
      <c r="BI469" s="60" t="e">
        <f t="shared" si="409"/>
        <v>#NUM!</v>
      </c>
      <c r="BJ469" s="66" t="e">
        <f t="shared" si="456"/>
        <v>#NUM!</v>
      </c>
      <c r="BK469" s="63" t="e">
        <f t="shared" si="410"/>
        <v>#NUM!</v>
      </c>
      <c r="BL469" s="51">
        <f t="shared" si="457"/>
        <v>-47.728679559910489</v>
      </c>
      <c r="BM469" s="63">
        <f t="shared" si="458"/>
        <v>-88.064504149710714</v>
      </c>
    </row>
    <row r="470" spans="14:65" x14ac:dyDescent="0.3">
      <c r="N470" s="11">
        <v>52</v>
      </c>
      <c r="O470" s="52">
        <f t="shared" si="408"/>
        <v>331131.12148259126</v>
      </c>
      <c r="P470" s="50" t="str">
        <f t="shared" si="411"/>
        <v>23.3035714285714</v>
      </c>
      <c r="Q470" s="18" t="str">
        <f t="shared" si="412"/>
        <v>1+1114.58474852642i</v>
      </c>
      <c r="R470" s="18">
        <f t="shared" si="423"/>
        <v>1114.585197123891</v>
      </c>
      <c r="S470" s="18">
        <f t="shared" si="424"/>
        <v>1.5698991319131235</v>
      </c>
      <c r="T470" s="18" t="str">
        <f t="shared" si="413"/>
        <v>1+2.08055819724932i</v>
      </c>
      <c r="U470" s="18">
        <f t="shared" si="425"/>
        <v>2.3084025671752619</v>
      </c>
      <c r="V470" s="18">
        <f t="shared" si="426"/>
        <v>1.1227561271016899</v>
      </c>
      <c r="W470" s="32" t="str">
        <f t="shared" si="414"/>
        <v>1-5.08580892660945i</v>
      </c>
      <c r="X470" s="18">
        <f t="shared" si="427"/>
        <v>5.1831894078820202</v>
      </c>
      <c r="Y470" s="18">
        <f t="shared" si="428"/>
        <v>-1.3766475216531324</v>
      </c>
      <c r="Z470" s="32" t="str">
        <f t="shared" si="415"/>
        <v>0.561408721542723+2.49609768319494i</v>
      </c>
      <c r="AA470" s="18">
        <f t="shared" si="429"/>
        <v>2.5584533211835976</v>
      </c>
      <c r="AB470" s="18">
        <f t="shared" si="430"/>
        <v>1.3495632053686579</v>
      </c>
      <c r="AC470" s="68" t="str">
        <f t="shared" si="431"/>
        <v>-0.0977285052983742+0.00310500684882448i</v>
      </c>
      <c r="AD470" s="66">
        <f t="shared" si="432"/>
        <v>-20.195193117057769</v>
      </c>
      <c r="AE470" s="63">
        <f t="shared" si="433"/>
        <v>178.18022426386662</v>
      </c>
      <c r="AF470" s="51" t="e">
        <f t="shared" si="434"/>
        <v>#NUM!</v>
      </c>
      <c r="AG470" s="51" t="str">
        <f t="shared" si="416"/>
        <v>1-1560.41864793699i</v>
      </c>
      <c r="AH470" s="51">
        <f t="shared" si="435"/>
        <v>1560.4189683637867</v>
      </c>
      <c r="AI470" s="51">
        <f t="shared" si="436"/>
        <v>-1.5701554732236935</v>
      </c>
      <c r="AJ470" s="51" t="str">
        <f t="shared" si="417"/>
        <v>1+2.08055819724932i</v>
      </c>
      <c r="AK470" s="51">
        <f t="shared" si="437"/>
        <v>2.3084025671752619</v>
      </c>
      <c r="AL470" s="51">
        <f t="shared" si="438"/>
        <v>1.1227561271016899</v>
      </c>
      <c r="AM470" s="51" t="e">
        <f t="shared" si="418"/>
        <v>#NUM!</v>
      </c>
      <c r="AN470" s="51" t="e">
        <f t="shared" si="439"/>
        <v>#NUM!</v>
      </c>
      <c r="AO470" s="51" t="e">
        <f t="shared" si="440"/>
        <v>#NUM!</v>
      </c>
      <c r="AP470" s="60" t="e">
        <f t="shared" si="441"/>
        <v>#NUM!</v>
      </c>
      <c r="AQ470" s="51" t="e">
        <f t="shared" si="442"/>
        <v>#NUM!</v>
      </c>
      <c r="AR470" s="63" t="e">
        <f t="shared" si="443"/>
        <v>#NUM!</v>
      </c>
      <c r="AS470" s="32" t="str">
        <f t="shared" si="419"/>
        <v>-0.000170731707317073</v>
      </c>
      <c r="AT470" s="32" t="str">
        <f t="shared" si="420"/>
        <v>0.079061211495474i</v>
      </c>
      <c r="AU470" s="32">
        <f t="shared" si="444"/>
        <v>7.9061211495474001E-2</v>
      </c>
      <c r="AV470" s="32">
        <f t="shared" si="445"/>
        <v>1.5707963267948966</v>
      </c>
      <c r="AW470" s="32" t="str">
        <f t="shared" si="421"/>
        <v>1+16.8328108463771i</v>
      </c>
      <c r="AX470" s="32">
        <f t="shared" si="446"/>
        <v>16.862488576420464</v>
      </c>
      <c r="AY470" s="32">
        <f t="shared" si="447"/>
        <v>1.5114582836281849</v>
      </c>
      <c r="AZ470" s="32" t="str">
        <f t="shared" si="422"/>
        <v>1+319.823406081166i</v>
      </c>
      <c r="BA470" s="32">
        <f t="shared" si="448"/>
        <v>319.82496944009608</v>
      </c>
      <c r="BB470" s="32">
        <f t="shared" si="449"/>
        <v>1.5676696114820055</v>
      </c>
      <c r="BC470" s="60" t="str">
        <f t="shared" si="450"/>
        <v>-0.00230110549595565+0.0408935611693409i</v>
      </c>
      <c r="BD470" s="51">
        <f t="shared" si="451"/>
        <v>-27.75317166168831</v>
      </c>
      <c r="BE470" s="63">
        <f t="shared" si="452"/>
        <v>93.220671846850067</v>
      </c>
      <c r="BF470" s="60" t="str">
        <f t="shared" si="453"/>
        <v>0.0000979088131499934-0.00400361155773213i</v>
      </c>
      <c r="BG470" s="66">
        <f t="shared" si="454"/>
        <v>-47.948364778746082</v>
      </c>
      <c r="BH470" s="63">
        <f t="shared" si="455"/>
        <v>-88.599103889283299</v>
      </c>
      <c r="BI470" s="60" t="e">
        <f t="shared" si="409"/>
        <v>#NUM!</v>
      </c>
      <c r="BJ470" s="66" t="e">
        <f t="shared" si="456"/>
        <v>#NUM!</v>
      </c>
      <c r="BK470" s="63" t="e">
        <f t="shared" si="410"/>
        <v>#NUM!</v>
      </c>
      <c r="BL470" s="51">
        <f t="shared" si="457"/>
        <v>-47.948364778746082</v>
      </c>
      <c r="BM470" s="63">
        <f t="shared" si="458"/>
        <v>-88.599103889283299</v>
      </c>
    </row>
    <row r="471" spans="14:65" x14ac:dyDescent="0.3">
      <c r="N471" s="11">
        <v>53</v>
      </c>
      <c r="O471" s="52">
        <f t="shared" si="408"/>
        <v>338844.15613920329</v>
      </c>
      <c r="P471" s="50" t="str">
        <f t="shared" si="411"/>
        <v>23.3035714285714</v>
      </c>
      <c r="Q471" s="18" t="str">
        <f t="shared" si="412"/>
        <v>1+1140.54676247009i</v>
      </c>
      <c r="R471" s="18">
        <f t="shared" si="423"/>
        <v>1140.5472008562399</v>
      </c>
      <c r="S471" s="18">
        <f t="shared" si="424"/>
        <v>1.5699195545513884</v>
      </c>
      <c r="T471" s="18" t="str">
        <f t="shared" si="413"/>
        <v>1+2.12902062327751i</v>
      </c>
      <c r="U471" s="18">
        <f t="shared" si="425"/>
        <v>2.3521753366492382</v>
      </c>
      <c r="V471" s="18">
        <f t="shared" si="426"/>
        <v>1.1316815679641479</v>
      </c>
      <c r="W471" s="32" t="str">
        <f t="shared" si="414"/>
        <v>1-5.20427263467836i</v>
      </c>
      <c r="X471" s="18">
        <f t="shared" si="427"/>
        <v>5.2994767341749913</v>
      </c>
      <c r="Y471" s="18">
        <f t="shared" si="428"/>
        <v>-1.3809602946490842</v>
      </c>
      <c r="Z471" s="32" t="str">
        <f t="shared" si="415"/>
        <v>0.540738551401243+2.55423926726161i</v>
      </c>
      <c r="AA471" s="18">
        <f t="shared" si="429"/>
        <v>2.610849749677802</v>
      </c>
      <c r="AB471" s="18">
        <f t="shared" si="430"/>
        <v>1.362174208812631</v>
      </c>
      <c r="AC471" s="68" t="str">
        <f t="shared" si="431"/>
        <v>-0.0974734441361061+0.00387952424824817i</v>
      </c>
      <c r="AD471" s="66">
        <f t="shared" si="432"/>
        <v>-20.215399522352534</v>
      </c>
      <c r="AE471" s="63">
        <f t="shared" si="433"/>
        <v>177.72078326116934</v>
      </c>
      <c r="AF471" s="51" t="e">
        <f t="shared" si="434"/>
        <v>#NUM!</v>
      </c>
      <c r="AG471" s="51" t="str">
        <f t="shared" si="416"/>
        <v>1-1596.76546745814i</v>
      </c>
      <c r="AH471" s="51">
        <f t="shared" si="435"/>
        <v>1596.7657805911335</v>
      </c>
      <c r="AI471" s="51">
        <f t="shared" si="436"/>
        <v>-1.570170060828076</v>
      </c>
      <c r="AJ471" s="51" t="str">
        <f t="shared" si="417"/>
        <v>1+2.12902062327751i</v>
      </c>
      <c r="AK471" s="51">
        <f t="shared" si="437"/>
        <v>2.3521753366492382</v>
      </c>
      <c r="AL471" s="51">
        <f t="shared" si="438"/>
        <v>1.1316815679641479</v>
      </c>
      <c r="AM471" s="51" t="e">
        <f t="shared" si="418"/>
        <v>#NUM!</v>
      </c>
      <c r="AN471" s="51" t="e">
        <f t="shared" si="439"/>
        <v>#NUM!</v>
      </c>
      <c r="AO471" s="51" t="e">
        <f t="shared" si="440"/>
        <v>#NUM!</v>
      </c>
      <c r="AP471" s="60" t="e">
        <f t="shared" si="441"/>
        <v>#NUM!</v>
      </c>
      <c r="AQ471" s="51" t="e">
        <f t="shared" si="442"/>
        <v>#NUM!</v>
      </c>
      <c r="AR471" s="63" t="e">
        <f t="shared" si="443"/>
        <v>#NUM!</v>
      </c>
      <c r="AS471" s="32" t="str">
        <f t="shared" si="419"/>
        <v>-0.000170731707317073</v>
      </c>
      <c r="AT471" s="32" t="str">
        <f t="shared" si="420"/>
        <v>0.0809027836845453i</v>
      </c>
      <c r="AU471" s="32">
        <f t="shared" si="444"/>
        <v>8.0902783684545301E-2</v>
      </c>
      <c r="AV471" s="32">
        <f t="shared" si="445"/>
        <v>1.5707963267948966</v>
      </c>
      <c r="AW471" s="32" t="str">
        <f t="shared" si="421"/>
        <v>1+17.2248973794852i</v>
      </c>
      <c r="AX471" s="32">
        <f t="shared" si="446"/>
        <v>17.253900710673978</v>
      </c>
      <c r="AY471" s="32">
        <f t="shared" si="447"/>
        <v>1.5128059211501272</v>
      </c>
      <c r="AZ471" s="32" t="str">
        <f t="shared" si="422"/>
        <v>1+327.273050210219i</v>
      </c>
      <c r="BA471" s="32">
        <f t="shared" si="448"/>
        <v>327.27457798292329</v>
      </c>
      <c r="BB471" s="32">
        <f t="shared" si="449"/>
        <v>1.567740783763653</v>
      </c>
      <c r="BC471" s="60" t="str">
        <f t="shared" si="450"/>
        <v>-0.00219788658153948+0.0399687024976203i</v>
      </c>
      <c r="BD471" s="51">
        <f t="shared" si="451"/>
        <v>-27.952486093659012</v>
      </c>
      <c r="BE471" s="63">
        <f t="shared" si="452"/>
        <v>93.147535775886041</v>
      </c>
      <c r="BF471" s="60" t="str">
        <f t="shared" si="453"/>
        <v>0.0000591760244126506-0.00390441384438242i</v>
      </c>
      <c r="BG471" s="66">
        <f t="shared" si="454"/>
        <v>-48.167885616011546</v>
      </c>
      <c r="BH471" s="63">
        <f t="shared" si="455"/>
        <v>-89.131680962944614</v>
      </c>
      <c r="BI471" s="60" t="e">
        <f t="shared" si="409"/>
        <v>#NUM!</v>
      </c>
      <c r="BJ471" s="66" t="e">
        <f t="shared" si="456"/>
        <v>#NUM!</v>
      </c>
      <c r="BK471" s="63" t="e">
        <f t="shared" si="410"/>
        <v>#NUM!</v>
      </c>
      <c r="BL471" s="51">
        <f t="shared" si="457"/>
        <v>-48.167885616011546</v>
      </c>
      <c r="BM471" s="63">
        <f t="shared" si="458"/>
        <v>-89.131680962944614</v>
      </c>
    </row>
    <row r="472" spans="14:65" x14ac:dyDescent="0.3">
      <c r="N472" s="11">
        <v>54</v>
      </c>
      <c r="O472" s="52">
        <f t="shared" si="408"/>
        <v>346736.85045253241</v>
      </c>
      <c r="P472" s="50" t="str">
        <f t="shared" si="411"/>
        <v>23.3035714285714</v>
      </c>
      <c r="Q472" s="18" t="str">
        <f t="shared" si="412"/>
        <v>1+1167.11350940415i</v>
      </c>
      <c r="R472" s="18">
        <f t="shared" si="423"/>
        <v>1167.1139378114165</v>
      </c>
      <c r="S472" s="18">
        <f t="shared" si="424"/>
        <v>1.569939512314358</v>
      </c>
      <c r="T472" s="18" t="str">
        <f t="shared" si="413"/>
        <v>1+2.17861188422108i</v>
      </c>
      <c r="U472" s="18">
        <f t="shared" si="425"/>
        <v>2.3971545094276516</v>
      </c>
      <c r="V472" s="18">
        <f t="shared" si="426"/>
        <v>1.1404767540148129</v>
      </c>
      <c r="W472" s="32" t="str">
        <f t="shared" si="414"/>
        <v>1-5.32549571698486i</v>
      </c>
      <c r="X472" s="18">
        <f t="shared" si="427"/>
        <v>5.4185703494209694</v>
      </c>
      <c r="Y472" s="18">
        <f t="shared" si="428"/>
        <v>-1.3851818151862472</v>
      </c>
      <c r="Z472" s="32" t="str">
        <f t="shared" si="415"/>
        <v>0.51909422615303+2.61373514279714i</v>
      </c>
      <c r="AA472" s="18">
        <f t="shared" si="429"/>
        <v>2.6647833330907407</v>
      </c>
      <c r="AB472" s="18">
        <f t="shared" si="430"/>
        <v>1.3747449169499846</v>
      </c>
      <c r="AC472" s="68" t="str">
        <f t="shared" si="431"/>
        <v>-0.0972146684787735+0.00465009529361962i</v>
      </c>
      <c r="AD472" s="66">
        <f t="shared" si="432"/>
        <v>-20.235438609562269</v>
      </c>
      <c r="AE472" s="63">
        <f t="shared" si="433"/>
        <v>177.26144297464975</v>
      </c>
      <c r="AF472" s="51" t="e">
        <f t="shared" si="434"/>
        <v>#NUM!</v>
      </c>
      <c r="AG472" s="51" t="str">
        <f t="shared" si="416"/>
        <v>1-1633.95891316581i</v>
      </c>
      <c r="AH472" s="51">
        <f t="shared" si="435"/>
        <v>1633.9592191710278</v>
      </c>
      <c r="AI472" s="51">
        <f t="shared" si="436"/>
        <v>-1.5701843163783005</v>
      </c>
      <c r="AJ472" s="51" t="str">
        <f t="shared" si="417"/>
        <v>1+2.17861188422108i</v>
      </c>
      <c r="AK472" s="51">
        <f t="shared" si="437"/>
        <v>2.3971545094276516</v>
      </c>
      <c r="AL472" s="51">
        <f t="shared" si="438"/>
        <v>1.1404767540148129</v>
      </c>
      <c r="AM472" s="51" t="e">
        <f t="shared" si="418"/>
        <v>#NUM!</v>
      </c>
      <c r="AN472" s="51" t="e">
        <f t="shared" si="439"/>
        <v>#NUM!</v>
      </c>
      <c r="AO472" s="51" t="e">
        <f t="shared" si="440"/>
        <v>#NUM!</v>
      </c>
      <c r="AP472" s="60" t="e">
        <f t="shared" si="441"/>
        <v>#NUM!</v>
      </c>
      <c r="AQ472" s="51" t="e">
        <f t="shared" si="442"/>
        <v>#NUM!</v>
      </c>
      <c r="AR472" s="63" t="e">
        <f t="shared" si="443"/>
        <v>#NUM!</v>
      </c>
      <c r="AS472" s="32" t="str">
        <f t="shared" si="419"/>
        <v>-0.000170731707317073</v>
      </c>
      <c r="AT472" s="32" t="str">
        <f t="shared" si="420"/>
        <v>0.0827872516004009i</v>
      </c>
      <c r="AU472" s="32">
        <f t="shared" si="444"/>
        <v>8.2787251600400902E-2</v>
      </c>
      <c r="AV472" s="32">
        <f t="shared" si="445"/>
        <v>1.5707963267948966</v>
      </c>
      <c r="AW472" s="32" t="str">
        <f t="shared" si="421"/>
        <v>1+17.6261167811823i</v>
      </c>
      <c r="AX472" s="32">
        <f t="shared" si="446"/>
        <v>17.654460988200015</v>
      </c>
      <c r="AY472" s="32">
        <f t="shared" si="447"/>
        <v>1.5141230864910966</v>
      </c>
      <c r="AZ472" s="32" t="str">
        <f t="shared" si="422"/>
        <v>1+334.896218842465i</v>
      </c>
      <c r="BA472" s="32">
        <f t="shared" si="448"/>
        <v>334.89771183897363</v>
      </c>
      <c r="BB472" s="32">
        <f t="shared" si="449"/>
        <v>1.5678103359962916</v>
      </c>
      <c r="BC472" s="60" t="str">
        <f t="shared" si="450"/>
        <v>-0.00209928277091231+0.0390644979419639i</v>
      </c>
      <c r="BD472" s="51">
        <f t="shared" si="451"/>
        <v>-28.151831279669281</v>
      </c>
      <c r="BE472" s="63">
        <f t="shared" si="452"/>
        <v>93.076052810313485</v>
      </c>
      <c r="BF472" s="60" t="str">
        <f t="shared" si="453"/>
        <v>0.0000224274405899016-0.00380740408165075i</v>
      </c>
      <c r="BG472" s="66">
        <f t="shared" si="454"/>
        <v>-48.387269889231533</v>
      </c>
      <c r="BH472" s="63">
        <f t="shared" si="455"/>
        <v>-89.662504215036748</v>
      </c>
      <c r="BI472" s="60" t="e">
        <f t="shared" si="409"/>
        <v>#NUM!</v>
      </c>
      <c r="BJ472" s="66" t="e">
        <f t="shared" si="456"/>
        <v>#NUM!</v>
      </c>
      <c r="BK472" s="63" t="e">
        <f t="shared" si="410"/>
        <v>#NUM!</v>
      </c>
      <c r="BL472" s="51">
        <f t="shared" si="457"/>
        <v>-48.387269889231533</v>
      </c>
      <c r="BM472" s="63">
        <f t="shared" si="458"/>
        <v>-89.662504215036748</v>
      </c>
    </row>
    <row r="473" spans="14:65" x14ac:dyDescent="0.3">
      <c r="N473" s="11">
        <v>55</v>
      </c>
      <c r="O473" s="52">
        <f t="shared" si="408"/>
        <v>354813.38923357555</v>
      </c>
      <c r="P473" s="50" t="str">
        <f t="shared" si="411"/>
        <v>23.3035714285714</v>
      </c>
      <c r="Q473" s="18" t="str">
        <f t="shared" si="412"/>
        <v>1+1194.29907536946i</v>
      </c>
      <c r="R473" s="18">
        <f t="shared" si="423"/>
        <v>1194.2994940249901</v>
      </c>
      <c r="S473" s="18">
        <f t="shared" si="424"/>
        <v>1.5699590157838386</v>
      </c>
      <c r="T473" s="18" t="str">
        <f t="shared" si="413"/>
        <v>1+2.22935827402299i</v>
      </c>
      <c r="U473" s="18">
        <f t="shared" si="425"/>
        <v>2.4433661849904458</v>
      </c>
      <c r="V473" s="18">
        <f t="shared" si="426"/>
        <v>1.1491409047231456</v>
      </c>
      <c r="W473" s="32" t="str">
        <f t="shared" si="414"/>
        <v>1-5.44954244761175i</v>
      </c>
      <c r="X473" s="18">
        <f t="shared" si="427"/>
        <v>5.5405336284804081</v>
      </c>
      <c r="Y473" s="18">
        <f t="shared" si="428"/>
        <v>-1.3893137194168934</v>
      </c>
      <c r="Z473" s="32" t="str">
        <f t="shared" si="415"/>
        <v>0.496429835282334+2.67461685530223i</v>
      </c>
      <c r="AA473" s="18">
        <f t="shared" si="429"/>
        <v>2.7202973925703851</v>
      </c>
      <c r="AB473" s="18">
        <f t="shared" si="430"/>
        <v>1.387276907387893</v>
      </c>
      <c r="AC473" s="68" t="str">
        <f t="shared" si="431"/>
        <v>-0.0969518600858213+0.00541709990333772i</v>
      </c>
      <c r="AD473" s="66">
        <f t="shared" si="432"/>
        <v>-20.255339890874176</v>
      </c>
      <c r="AE473" s="63">
        <f t="shared" si="433"/>
        <v>176.80197394205669</v>
      </c>
      <c r="AF473" s="51" t="e">
        <f t="shared" si="434"/>
        <v>#NUM!</v>
      </c>
      <c r="AG473" s="51" t="str">
        <f t="shared" si="416"/>
        <v>1-1672.01870551725i</v>
      </c>
      <c r="AH473" s="51">
        <f t="shared" si="435"/>
        <v>1672.01900455694</v>
      </c>
      <c r="AI473" s="51">
        <f t="shared" si="436"/>
        <v>-1.5701982474328253</v>
      </c>
      <c r="AJ473" s="51" t="str">
        <f t="shared" si="417"/>
        <v>1+2.22935827402299i</v>
      </c>
      <c r="AK473" s="51">
        <f t="shared" si="437"/>
        <v>2.4433661849904458</v>
      </c>
      <c r="AL473" s="51">
        <f t="shared" si="438"/>
        <v>1.1491409047231456</v>
      </c>
      <c r="AM473" s="51" t="e">
        <f t="shared" si="418"/>
        <v>#NUM!</v>
      </c>
      <c r="AN473" s="51" t="e">
        <f t="shared" si="439"/>
        <v>#NUM!</v>
      </c>
      <c r="AO473" s="51" t="e">
        <f t="shared" si="440"/>
        <v>#NUM!</v>
      </c>
      <c r="AP473" s="60" t="e">
        <f t="shared" si="441"/>
        <v>#NUM!</v>
      </c>
      <c r="AQ473" s="51" t="e">
        <f t="shared" si="442"/>
        <v>#NUM!</v>
      </c>
      <c r="AR473" s="63" t="e">
        <f t="shared" si="443"/>
        <v>#NUM!</v>
      </c>
      <c r="AS473" s="32" t="str">
        <f t="shared" si="419"/>
        <v>-0.000170731707317073</v>
      </c>
      <c r="AT473" s="32" t="str">
        <f t="shared" si="420"/>
        <v>0.0847156144128738i</v>
      </c>
      <c r="AU473" s="32">
        <f t="shared" si="444"/>
        <v>8.4715614412873799E-2</v>
      </c>
      <c r="AV473" s="32">
        <f t="shared" si="445"/>
        <v>1.5707963267948966</v>
      </c>
      <c r="AW473" s="32" t="str">
        <f t="shared" si="421"/>
        <v>1+18.036681783306i</v>
      </c>
      <c r="AX473" s="32">
        <f t="shared" si="446"/>
        <v>18.064381798230531</v>
      </c>
      <c r="AY473" s="32">
        <f t="shared" si="447"/>
        <v>1.5154104597377878</v>
      </c>
      <c r="AZ473" s="32" t="str">
        <f t="shared" si="422"/>
        <v>1+342.696953882814i</v>
      </c>
      <c r="BA473" s="32">
        <f t="shared" si="448"/>
        <v>342.69841289471935</v>
      </c>
      <c r="BB473" s="32">
        <f t="shared" si="449"/>
        <v>1.5678783050547422</v>
      </c>
      <c r="BC473" s="60" t="str">
        <f t="shared" si="450"/>
        <v>-0.00200508902233324+0.0381805037503779i</v>
      </c>
      <c r="BD473" s="51">
        <f t="shared" si="451"/>
        <v>-28.351205844471437</v>
      </c>
      <c r="BE473" s="63">
        <f t="shared" si="452"/>
        <v>93.006186096806701</v>
      </c>
      <c r="BF473" s="60" t="str">
        <f t="shared" si="453"/>
        <v>-0.0000124304928226891-0.00371253262516188i</v>
      </c>
      <c r="BG473" s="66">
        <f t="shared" si="454"/>
        <v>-48.606545735345605</v>
      </c>
      <c r="BH473" s="63">
        <f t="shared" si="455"/>
        <v>-90.19183996113658</v>
      </c>
      <c r="BI473" s="60" t="e">
        <f t="shared" si="409"/>
        <v>#NUM!</v>
      </c>
      <c r="BJ473" s="66" t="e">
        <f t="shared" si="456"/>
        <v>#NUM!</v>
      </c>
      <c r="BK473" s="63" t="e">
        <f t="shared" si="410"/>
        <v>#NUM!</v>
      </c>
      <c r="BL473" s="51">
        <f t="shared" si="457"/>
        <v>-48.606545735345605</v>
      </c>
      <c r="BM473" s="63">
        <f t="shared" si="458"/>
        <v>-90.19183996113658</v>
      </c>
    </row>
    <row r="474" spans="14:65" x14ac:dyDescent="0.3">
      <c r="N474" s="11">
        <v>56</v>
      </c>
      <c r="O474" s="52">
        <f t="shared" si="408"/>
        <v>363078.05477010203</v>
      </c>
      <c r="P474" s="50" t="str">
        <f t="shared" si="411"/>
        <v>23.3035714285714</v>
      </c>
      <c r="Q474" s="18" t="str">
        <f t="shared" si="412"/>
        <v>1+1222.11787451295i</v>
      </c>
      <c r="R474" s="18">
        <f t="shared" si="423"/>
        <v>1222.11828363872</v>
      </c>
      <c r="S474" s="18">
        <f t="shared" si="424"/>
        <v>1.5699780753007679</v>
      </c>
      <c r="T474" s="18" t="str">
        <f t="shared" si="413"/>
        <v>1+2.28128669909085i</v>
      </c>
      <c r="U474" s="18">
        <f t="shared" si="425"/>
        <v>2.4908370086075133</v>
      </c>
      <c r="V474" s="18">
        <f t="shared" si="426"/>
        <v>1.1576734097316572</v>
      </c>
      <c r="W474" s="32" t="str">
        <f t="shared" si="414"/>
        <v>1-5.57647859777763i</v>
      </c>
      <c r="X474" s="18">
        <f t="shared" si="427"/>
        <v>5.6654314532497843</v>
      </c>
      <c r="Y474" s="18">
        <f t="shared" si="428"/>
        <v>-1.3933576335154787</v>
      </c>
      <c r="Z474" s="32" t="str">
        <f t="shared" si="415"/>
        <v>0.472697304577434+2.73691668506677i</v>
      </c>
      <c r="AA474" s="18">
        <f t="shared" si="429"/>
        <v>2.7774368908674862</v>
      </c>
      <c r="AB474" s="18">
        <f t="shared" si="430"/>
        <v>1.3997719041419503</v>
      </c>
      <c r="AC474" s="68" t="str">
        <f t="shared" si="431"/>
        <v>-0.0966846889543023+0.00618089990566827i</v>
      </c>
      <c r="AD474" s="66">
        <f t="shared" si="432"/>
        <v>-20.275133146197909</v>
      </c>
      <c r="AE474" s="63">
        <f t="shared" si="433"/>
        <v>176.34214864823949</v>
      </c>
      <c r="AF474" s="51" t="e">
        <f t="shared" si="434"/>
        <v>#NUM!</v>
      </c>
      <c r="AG474" s="51" t="str">
        <f t="shared" si="416"/>
        <v>1-1710.96502431814i</v>
      </c>
      <c r="AH474" s="51">
        <f t="shared" si="435"/>
        <v>1710.9653165508566</v>
      </c>
      <c r="AI474" s="51">
        <f t="shared" si="436"/>
        <v>-1.5702118613780587</v>
      </c>
      <c r="AJ474" s="51" t="str">
        <f t="shared" si="417"/>
        <v>1+2.28128669909085i</v>
      </c>
      <c r="AK474" s="51">
        <f t="shared" si="437"/>
        <v>2.4908370086075133</v>
      </c>
      <c r="AL474" s="51">
        <f t="shared" si="438"/>
        <v>1.1576734097316572</v>
      </c>
      <c r="AM474" s="51" t="e">
        <f t="shared" si="418"/>
        <v>#NUM!</v>
      </c>
      <c r="AN474" s="51" t="e">
        <f t="shared" si="439"/>
        <v>#NUM!</v>
      </c>
      <c r="AO474" s="51" t="e">
        <f t="shared" si="440"/>
        <v>#NUM!</v>
      </c>
      <c r="AP474" s="60" t="e">
        <f t="shared" si="441"/>
        <v>#NUM!</v>
      </c>
      <c r="AQ474" s="51" t="e">
        <f t="shared" si="442"/>
        <v>#NUM!</v>
      </c>
      <c r="AR474" s="63" t="e">
        <f t="shared" si="443"/>
        <v>#NUM!</v>
      </c>
      <c r="AS474" s="32" t="str">
        <f t="shared" si="419"/>
        <v>-0.000170731707317073</v>
      </c>
      <c r="AT474" s="32" t="str">
        <f t="shared" si="420"/>
        <v>0.0866888945654523i</v>
      </c>
      <c r="AU474" s="32">
        <f t="shared" si="444"/>
        <v>8.6688894565452299E-2</v>
      </c>
      <c r="AV474" s="32">
        <f t="shared" si="445"/>
        <v>1.5707963267948966</v>
      </c>
      <c r="AW474" s="32" t="str">
        <f t="shared" si="421"/>
        <v>1+18.456810072855i</v>
      </c>
      <c r="AX474" s="32">
        <f t="shared" si="446"/>
        <v>18.483880492619555</v>
      </c>
      <c r="AY474" s="32">
        <f t="shared" si="447"/>
        <v>1.5166687063940552</v>
      </c>
      <c r="AZ474" s="32" t="str">
        <f t="shared" si="422"/>
        <v>1+350.679391384246i</v>
      </c>
      <c r="BA474" s="32">
        <f t="shared" si="448"/>
        <v>350.68081718512229</v>
      </c>
      <c r="BB474" s="32">
        <f t="shared" si="449"/>
        <v>1.5679447269745859</v>
      </c>
      <c r="BC474" s="60" t="str">
        <f t="shared" si="450"/>
        <v>-0.00191510928896381+0.0373162845305651i</v>
      </c>
      <c r="BD474" s="51">
        <f t="shared" si="451"/>
        <v>-28.550608473933504</v>
      </c>
      <c r="BE474" s="63">
        <f t="shared" si="452"/>
        <v>92.937899569490355</v>
      </c>
      <c r="BF474" s="60" t="str">
        <f t="shared" si="453"/>
        <v>-0.0000454864736178991-0.00361975046159143i</v>
      </c>
      <c r="BG474" s="66">
        <f t="shared" si="454"/>
        <v>-48.825741620131417</v>
      </c>
      <c r="BH474" s="63">
        <f t="shared" si="455"/>
        <v>-90.719951782270158</v>
      </c>
      <c r="BI474" s="60" t="e">
        <f t="shared" si="409"/>
        <v>#NUM!</v>
      </c>
      <c r="BJ474" s="66" t="e">
        <f t="shared" si="456"/>
        <v>#NUM!</v>
      </c>
      <c r="BK474" s="63" t="e">
        <f t="shared" si="410"/>
        <v>#NUM!</v>
      </c>
      <c r="BL474" s="51">
        <f t="shared" si="457"/>
        <v>-48.825741620131417</v>
      </c>
      <c r="BM474" s="63">
        <f t="shared" si="458"/>
        <v>-90.719951782270158</v>
      </c>
    </row>
    <row r="475" spans="14:65" x14ac:dyDescent="0.3">
      <c r="N475" s="11">
        <v>57</v>
      </c>
      <c r="O475" s="52">
        <f t="shared" si="408"/>
        <v>371535.2290971732</v>
      </c>
      <c r="P475" s="50" t="str">
        <f t="shared" si="411"/>
        <v>23.3035714285714</v>
      </c>
      <c r="Q475" s="18" t="str">
        <f t="shared" si="412"/>
        <v>1+1250.58465673016i</v>
      </c>
      <c r="R475" s="18">
        <f t="shared" si="423"/>
        <v>1250.5850565430935</v>
      </c>
      <c r="S475" s="18">
        <f t="shared" si="424"/>
        <v>1.5699967009706994</v>
      </c>
      <c r="T475" s="18" t="str">
        <f t="shared" si="413"/>
        <v>1+2.33442469256296i</v>
      </c>
      <c r="U475" s="18">
        <f t="shared" si="425"/>
        <v>2.5395941890876323</v>
      </c>
      <c r="V475" s="18">
        <f t="shared" si="426"/>
        <v>1.1660738224628642</v>
      </c>
      <c r="W475" s="32" t="str">
        <f t="shared" si="414"/>
        <v>1-5.70637147070946i</v>
      </c>
      <c r="X475" s="18">
        <f t="shared" si="427"/>
        <v>5.793330247942615</v>
      </c>
      <c r="Y475" s="18">
        <f t="shared" si="428"/>
        <v>-1.3973151723093169</v>
      </c>
      <c r="Z475" s="32" t="str">
        <f t="shared" si="415"/>
        <v>0.447846294158843+2.8006676642851i</v>
      </c>
      <c r="AA475" s="18">
        <f t="shared" si="429"/>
        <v>2.8362485203105816</v>
      </c>
      <c r="AB475" s="18">
        <f t="shared" si="430"/>
        <v>1.4122317689337354</v>
      </c>
      <c r="AC475" s="68" t="str">
        <f t="shared" si="431"/>
        <v>-0.0964128136562424+0.00694183854935897i</v>
      </c>
      <c r="AD475" s="66">
        <f t="shared" si="432"/>
        <v>-20.294848435713099</v>
      </c>
      <c r="AE475" s="63">
        <f t="shared" si="433"/>
        <v>175.88174173560878</v>
      </c>
      <c r="AF475" s="51" t="e">
        <f t="shared" si="434"/>
        <v>#NUM!</v>
      </c>
      <c r="AG475" s="51" t="str">
        <f t="shared" si="416"/>
        <v>1-1750.81851942222i</v>
      </c>
      <c r="AH475" s="51">
        <f t="shared" si="435"/>
        <v>1750.8188050029094</v>
      </c>
      <c r="AI475" s="51">
        <f t="shared" si="436"/>
        <v>-1.5702251654322739</v>
      </c>
      <c r="AJ475" s="51" t="str">
        <f t="shared" si="417"/>
        <v>1+2.33442469256296i</v>
      </c>
      <c r="AK475" s="51">
        <f t="shared" si="437"/>
        <v>2.5395941890876323</v>
      </c>
      <c r="AL475" s="51">
        <f t="shared" si="438"/>
        <v>1.1660738224628642</v>
      </c>
      <c r="AM475" s="51" t="e">
        <f t="shared" si="418"/>
        <v>#NUM!</v>
      </c>
      <c r="AN475" s="51" t="e">
        <f t="shared" si="439"/>
        <v>#NUM!</v>
      </c>
      <c r="AO475" s="51" t="e">
        <f t="shared" si="440"/>
        <v>#NUM!</v>
      </c>
      <c r="AP475" s="60" t="e">
        <f t="shared" si="441"/>
        <v>#NUM!</v>
      </c>
      <c r="AQ475" s="51" t="e">
        <f t="shared" si="442"/>
        <v>#NUM!</v>
      </c>
      <c r="AR475" s="63" t="e">
        <f t="shared" si="443"/>
        <v>#NUM!</v>
      </c>
      <c r="AS475" s="32" t="str">
        <f t="shared" si="419"/>
        <v>-0.000170731707317073</v>
      </c>
      <c r="AT475" s="32" t="str">
        <f t="shared" si="420"/>
        <v>0.0887081383173925i</v>
      </c>
      <c r="AU475" s="32">
        <f t="shared" si="444"/>
        <v>8.8708138317392493E-2</v>
      </c>
      <c r="AV475" s="32">
        <f t="shared" si="445"/>
        <v>1.5707963267948966</v>
      </c>
      <c r="AW475" s="32" t="str">
        <f t="shared" si="421"/>
        <v>1+18.8867244074094i</v>
      </c>
      <c r="AX475" s="32">
        <f t="shared" si="446"/>
        <v>18.913179501115987</v>
      </c>
      <c r="AY475" s="32">
        <f t="shared" si="447"/>
        <v>1.5178984776536073</v>
      </c>
      <c r="AZ475" s="32" t="str">
        <f t="shared" si="422"/>
        <v>1+358.847763740778i</v>
      </c>
      <c r="BA475" s="32">
        <f t="shared" si="448"/>
        <v>358.8491570865915</v>
      </c>
      <c r="BB475" s="32">
        <f t="shared" si="449"/>
        <v>1.5680096369712579</v>
      </c>
      <c r="BC475" s="60" t="str">
        <f t="shared" si="450"/>
        <v>-0.00182915613436727+0.0364714131736693i</v>
      </c>
      <c r="BD475" s="51">
        <f t="shared" si="451"/>
        <v>-28.750037912356884</v>
      </c>
      <c r="BE475" s="63">
        <f t="shared" si="452"/>
        <v>92.87115793540903</v>
      </c>
      <c r="BF475" s="60" t="str">
        <f t="shared" si="453"/>
        <v>-0.0000768245723876519-0.00352900926865915i</v>
      </c>
      <c r="BG475" s="66">
        <f t="shared" si="454"/>
        <v>-49.044886348069987</v>
      </c>
      <c r="BH475" s="63">
        <f t="shared" si="455"/>
        <v>-91.247100328982185</v>
      </c>
      <c r="BI475" s="60" t="e">
        <f t="shared" si="409"/>
        <v>#NUM!</v>
      </c>
      <c r="BJ475" s="66" t="e">
        <f t="shared" si="456"/>
        <v>#NUM!</v>
      </c>
      <c r="BK475" s="63" t="e">
        <f t="shared" si="410"/>
        <v>#NUM!</v>
      </c>
      <c r="BL475" s="51">
        <f t="shared" si="457"/>
        <v>-49.044886348069987</v>
      </c>
      <c r="BM475" s="63">
        <f t="shared" si="458"/>
        <v>-91.247100328982185</v>
      </c>
    </row>
    <row r="476" spans="14:65" x14ac:dyDescent="0.3">
      <c r="N476" s="11">
        <v>58</v>
      </c>
      <c r="O476" s="52">
        <f t="shared" si="408"/>
        <v>380189.39632056188</v>
      </c>
      <c r="P476" s="50" t="str">
        <f t="shared" si="411"/>
        <v>23.3035714285714</v>
      </c>
      <c r="Q476" s="18" t="str">
        <f t="shared" si="412"/>
        <v>1+1279.7145154858i</v>
      </c>
      <c r="R476" s="18">
        <f t="shared" si="423"/>
        <v>1279.7149061978826</v>
      </c>
      <c r="S476" s="18">
        <f t="shared" si="424"/>
        <v>1.5700149026691579</v>
      </c>
      <c r="T476" s="18" t="str">
        <f t="shared" si="413"/>
        <v>1+2.38880042890683i</v>
      </c>
      <c r="U476" s="18">
        <f t="shared" si="425"/>
        <v>2.5896655168468099</v>
      </c>
      <c r="V476" s="18">
        <f t="shared" si="426"/>
        <v>1.174341853545493</v>
      </c>
      <c r="W476" s="32" t="str">
        <f t="shared" si="414"/>
        <v>1-5.83928993732781i</v>
      </c>
      <c r="X476" s="18">
        <f t="shared" si="427"/>
        <v>5.9242980151388247</v>
      </c>
      <c r="Y476" s="18">
        <f t="shared" si="428"/>
        <v>-1.4011879380244805</v>
      </c>
      <c r="Z476" s="32" t="str">
        <f t="shared" si="415"/>
        <v>0.421824091701626+2.86590359457025i</v>
      </c>
      <c r="AA476" s="18">
        <f t="shared" si="429"/>
        <v>2.8967807955919933</v>
      </c>
      <c r="AB476" s="18">
        <f t="shared" si="430"/>
        <v>1.4246584923413328</v>
      </c>
      <c r="AC476" s="68" t="str">
        <f t="shared" si="431"/>
        <v>-0.0961358816879079+0.00770024000727985i</v>
      </c>
      <c r="AD476" s="66">
        <f t="shared" si="432"/>
        <v>-20.314516112765038</v>
      </c>
      <c r="AE476" s="63">
        <f t="shared" si="433"/>
        <v>175.42053020607116</v>
      </c>
      <c r="AF476" s="51" t="e">
        <f t="shared" si="434"/>
        <v>#NUM!</v>
      </c>
      <c r="AG476" s="51" t="str">
        <f t="shared" si="416"/>
        <v>1-1791.60032168013i</v>
      </c>
      <c r="AH476" s="51">
        <f t="shared" si="435"/>
        <v>1791.60060076021</v>
      </c>
      <c r="AI476" s="51">
        <f t="shared" si="436"/>
        <v>-1.570238166649438</v>
      </c>
      <c r="AJ476" s="51" t="str">
        <f t="shared" si="417"/>
        <v>1+2.38880042890683i</v>
      </c>
      <c r="AK476" s="51">
        <f t="shared" si="437"/>
        <v>2.5896655168468099</v>
      </c>
      <c r="AL476" s="51">
        <f t="shared" si="438"/>
        <v>1.174341853545493</v>
      </c>
      <c r="AM476" s="51" t="e">
        <f t="shared" si="418"/>
        <v>#NUM!</v>
      </c>
      <c r="AN476" s="51" t="e">
        <f t="shared" si="439"/>
        <v>#NUM!</v>
      </c>
      <c r="AO476" s="51" t="e">
        <f t="shared" si="440"/>
        <v>#NUM!</v>
      </c>
      <c r="AP476" s="60" t="e">
        <f t="shared" si="441"/>
        <v>#NUM!</v>
      </c>
      <c r="AQ476" s="51" t="e">
        <f t="shared" si="442"/>
        <v>#NUM!</v>
      </c>
      <c r="AR476" s="63" t="e">
        <f t="shared" si="443"/>
        <v>#NUM!</v>
      </c>
      <c r="AS476" s="32" t="str">
        <f t="shared" si="419"/>
        <v>-0.000170731707317073</v>
      </c>
      <c r="AT476" s="32" t="str">
        <f t="shared" si="420"/>
        <v>0.0907744162984596i</v>
      </c>
      <c r="AU476" s="32">
        <f t="shared" si="444"/>
        <v>9.0774416298459601E-2</v>
      </c>
      <c r="AV476" s="32">
        <f t="shared" si="445"/>
        <v>1.5707963267948966</v>
      </c>
      <c r="AW476" s="32" t="str">
        <f t="shared" si="421"/>
        <v>1+19.3266527332399i</v>
      </c>
      <c r="AX476" s="32">
        <f t="shared" si="446"/>
        <v>19.352506449327159</v>
      </c>
      <c r="AY476" s="32">
        <f t="shared" si="447"/>
        <v>1.5191004106703763</v>
      </c>
      <c r="AZ476" s="32" t="str">
        <f t="shared" si="422"/>
        <v>1+367.206401931558i</v>
      </c>
      <c r="BA476" s="32">
        <f t="shared" si="448"/>
        <v>367.20776356106757</v>
      </c>
      <c r="BB476" s="32">
        <f t="shared" si="449"/>
        <v>1.5680730694587088</v>
      </c>
      <c r="BC476" s="60" t="str">
        <f t="shared" si="450"/>
        <v>-0.00174705036355088+0.0356454707723817i</v>
      </c>
      <c r="BD476" s="51">
        <f t="shared" si="451"/>
        <v>-28.949492959908536</v>
      </c>
      <c r="BE476" s="63">
        <f t="shared" si="452"/>
        <v>92.805926660105683</v>
      </c>
      <c r="BF476" s="60" t="str">
        <f t="shared" si="453"/>
        <v>-0.000106524453066674-0.00344026146798761i</v>
      </c>
      <c r="BG476" s="66">
        <f t="shared" si="454"/>
        <v>-49.264009072673581</v>
      </c>
      <c r="BH476" s="63">
        <f t="shared" si="455"/>
        <v>-91.773543133823154</v>
      </c>
      <c r="BI476" s="60" t="e">
        <f t="shared" si="409"/>
        <v>#NUM!</v>
      </c>
      <c r="BJ476" s="66" t="e">
        <f t="shared" si="456"/>
        <v>#NUM!</v>
      </c>
      <c r="BK476" s="63" t="e">
        <f t="shared" si="410"/>
        <v>#NUM!</v>
      </c>
      <c r="BL476" s="51">
        <f t="shared" si="457"/>
        <v>-49.264009072673581</v>
      </c>
      <c r="BM476" s="63">
        <f t="shared" si="458"/>
        <v>-91.773543133823154</v>
      </c>
    </row>
    <row r="477" spans="14:65" x14ac:dyDescent="0.3">
      <c r="N477" s="11">
        <v>59</v>
      </c>
      <c r="O477" s="52">
        <f t="shared" si="408"/>
        <v>389045.14499428123</v>
      </c>
      <c r="P477" s="50" t="str">
        <f t="shared" si="411"/>
        <v>23.3035714285714</v>
      </c>
      <c r="Q477" s="18" t="str">
        <f t="shared" si="412"/>
        <v>1+1309.52289581658i</v>
      </c>
      <c r="R477" s="18">
        <f t="shared" si="423"/>
        <v>1309.5232776349726</v>
      </c>
      <c r="S477" s="18">
        <f t="shared" si="424"/>
        <v>1.5700326900468762</v>
      </c>
      <c r="T477" s="18" t="str">
        <f t="shared" si="413"/>
        <v>1+2.44444273885762i</v>
      </c>
      <c r="U477" s="18">
        <f t="shared" si="425"/>
        <v>2.641079382289321</v>
      </c>
      <c r="V477" s="18">
        <f t="shared" si="426"/>
        <v>1.1824773641045274</v>
      </c>
      <c r="W477" s="32" t="str">
        <f t="shared" si="414"/>
        <v>1-5.97530447276307i</v>
      </c>
      <c r="X477" s="18">
        <f t="shared" si="427"/>
        <v>6.0584043726234009</v>
      </c>
      <c r="Y477" s="18">
        <f t="shared" si="428"/>
        <v>-1.4049775191408727</v>
      </c>
      <c r="Z477" s="32" t="str">
        <f t="shared" si="415"/>
        <v>0.394575500625514+2.93265906487596i</v>
      </c>
      <c r="AA477" s="18">
        <f t="shared" si="429"/>
        <v>2.9590841516410133</v>
      </c>
      <c r="AB477" s="18">
        <f t="shared" si="430"/>
        <v>1.4370541848281371</v>
      </c>
      <c r="AC477" s="68" t="str">
        <f t="shared" si="431"/>
        <v>-0.0958535298326534+0.00845640887099508i</v>
      </c>
      <c r="AD477" s="66">
        <f t="shared" si="432"/>
        <v>-20.334166837119522</v>
      </c>
      <c r="AE477" s="63">
        <f t="shared" si="433"/>
        <v>174.95829361588841</v>
      </c>
      <c r="AF477" s="51" t="e">
        <f t="shared" si="434"/>
        <v>#NUM!</v>
      </c>
      <c r="AG477" s="51" t="str">
        <f t="shared" si="416"/>
        <v>1-1833.33205414322i</v>
      </c>
      <c r="AH477" s="51">
        <f t="shared" si="435"/>
        <v>1833.3323268706629</v>
      </c>
      <c r="AI477" s="51">
        <f t="shared" si="436"/>
        <v>-1.5702508719229511</v>
      </c>
      <c r="AJ477" s="51" t="str">
        <f t="shared" si="417"/>
        <v>1+2.44444273885762i</v>
      </c>
      <c r="AK477" s="51">
        <f t="shared" si="437"/>
        <v>2.641079382289321</v>
      </c>
      <c r="AL477" s="51">
        <f t="shared" si="438"/>
        <v>1.1824773641045274</v>
      </c>
      <c r="AM477" s="51" t="e">
        <f t="shared" si="418"/>
        <v>#NUM!</v>
      </c>
      <c r="AN477" s="51" t="e">
        <f t="shared" si="439"/>
        <v>#NUM!</v>
      </c>
      <c r="AO477" s="51" t="e">
        <f t="shared" si="440"/>
        <v>#NUM!</v>
      </c>
      <c r="AP477" s="60" t="e">
        <f t="shared" si="441"/>
        <v>#NUM!</v>
      </c>
      <c r="AQ477" s="51" t="e">
        <f t="shared" si="442"/>
        <v>#NUM!</v>
      </c>
      <c r="AR477" s="63" t="e">
        <f t="shared" si="443"/>
        <v>#NUM!</v>
      </c>
      <c r="AS477" s="32" t="str">
        <f t="shared" si="419"/>
        <v>-0.000170731707317073</v>
      </c>
      <c r="AT477" s="32" t="str">
        <f t="shared" si="420"/>
        <v>0.0928888240765895i</v>
      </c>
      <c r="AU477" s="32">
        <f t="shared" si="444"/>
        <v>9.2888824076589493E-2</v>
      </c>
      <c r="AV477" s="32">
        <f t="shared" si="445"/>
        <v>1.5707963267948966</v>
      </c>
      <c r="AW477" s="32" t="str">
        <f t="shared" si="421"/>
        <v>1+19.776828306168i</v>
      </c>
      <c r="AX477" s="32">
        <f t="shared" si="446"/>
        <v>19.802094279435394</v>
      </c>
      <c r="AY477" s="32">
        <f t="shared" si="447"/>
        <v>1.5202751288263645</v>
      </c>
      <c r="AZ477" s="32" t="str">
        <f t="shared" si="422"/>
        <v>1+375.759737817194i</v>
      </c>
      <c r="BA477" s="32">
        <f t="shared" si="448"/>
        <v>375.76106845234295</v>
      </c>
      <c r="BB477" s="32">
        <f t="shared" si="449"/>
        <v>1.5681350580676396</v>
      </c>
      <c r="BC477" s="60" t="str">
        <f t="shared" si="450"/>
        <v>-0.00166862066900257+0.0348380465340007i</v>
      </c>
      <c r="BD477" s="51">
        <f t="shared" si="451"/>
        <v>-29.148972470163802</v>
      </c>
      <c r="BE477" s="63">
        <f t="shared" si="452"/>
        <v>92.74217195331984</v>
      </c>
      <c r="BF477" s="60" t="str">
        <f t="shared" si="453"/>
        <v>-0.000134661584682643-0.00335346027138588i</v>
      </c>
      <c r="BG477" s="66">
        <f t="shared" si="454"/>
        <v>-49.483139307283331</v>
      </c>
      <c r="BH477" s="63">
        <f t="shared" si="455"/>
        <v>-92.299534430791738</v>
      </c>
      <c r="BI477" s="60" t="e">
        <f t="shared" si="409"/>
        <v>#NUM!</v>
      </c>
      <c r="BJ477" s="66" t="e">
        <f t="shared" si="456"/>
        <v>#NUM!</v>
      </c>
      <c r="BK477" s="63" t="e">
        <f t="shared" si="410"/>
        <v>#NUM!</v>
      </c>
      <c r="BL477" s="51">
        <f t="shared" si="457"/>
        <v>-49.483139307283331</v>
      </c>
      <c r="BM477" s="63">
        <f t="shared" si="458"/>
        <v>-92.299534430791738</v>
      </c>
    </row>
    <row r="478" spans="14:65" x14ac:dyDescent="0.3">
      <c r="N478" s="11">
        <v>60</v>
      </c>
      <c r="O478" s="52">
        <f t="shared" si="408"/>
        <v>398107.17055349716</v>
      </c>
      <c r="P478" s="50" t="str">
        <f t="shared" si="411"/>
        <v>23.3035714285714</v>
      </c>
      <c r="Q478" s="18" t="str">
        <f t="shared" si="412"/>
        <v>1+1340.0256025203i</v>
      </c>
      <c r="R478" s="18">
        <f t="shared" si="423"/>
        <v>1340.0259756474472</v>
      </c>
      <c r="S478" s="18">
        <f t="shared" si="424"/>
        <v>1.5700500725349127</v>
      </c>
      <c r="T478" s="18" t="str">
        <f t="shared" si="413"/>
        <v>1+2.50138112470457i</v>
      </c>
      <c r="U478" s="18">
        <f t="shared" si="425"/>
        <v>2.6938647944966165</v>
      </c>
      <c r="V478" s="18">
        <f t="shared" si="426"/>
        <v>1.1904803589570829</v>
      </c>
      <c r="W478" s="32" t="str">
        <f t="shared" si="414"/>
        <v>1-6.11448719372228i</v>
      </c>
      <c r="X478" s="18">
        <f t="shared" si="427"/>
        <v>6.1957205910365065</v>
      </c>
      <c r="Y478" s="18">
        <f t="shared" si="428"/>
        <v>-1.408685489350604</v>
      </c>
      <c r="Z478" s="32" t="str">
        <f t="shared" si="415"/>
        <v>0.366042723015554+3.00096946983619i</v>
      </c>
      <c r="AA478" s="18">
        <f t="shared" si="429"/>
        <v>3.0232110468774001</v>
      </c>
      <c r="AB478" s="18">
        <f t="shared" si="430"/>
        <v>1.4494210676724961</v>
      </c>
      <c r="AC478" s="68" t="str">
        <f t="shared" si="431"/>
        <v>-0.0955653845394693+0.00921062963437748i</v>
      </c>
      <c r="AD478" s="66">
        <f t="shared" si="432"/>
        <v>-20.353831588567793</v>
      </c>
      <c r="AE478" s="63">
        <f t="shared" si="433"/>
        <v>174.49481426491047</v>
      </c>
      <c r="AF478" s="51" t="e">
        <f t="shared" si="434"/>
        <v>#NUM!</v>
      </c>
      <c r="AG478" s="51" t="str">
        <f t="shared" si="416"/>
        <v>1-1876.03584352843i</v>
      </c>
      <c r="AH478" s="51">
        <f t="shared" si="435"/>
        <v>1876.036110047839</v>
      </c>
      <c r="AI478" s="51">
        <f t="shared" si="436"/>
        <v>-1.5702632879893006</v>
      </c>
      <c r="AJ478" s="51" t="str">
        <f t="shared" si="417"/>
        <v>1+2.50138112470457i</v>
      </c>
      <c r="AK478" s="51">
        <f t="shared" si="437"/>
        <v>2.6938647944966165</v>
      </c>
      <c r="AL478" s="51">
        <f t="shared" si="438"/>
        <v>1.1904803589570829</v>
      </c>
      <c r="AM478" s="51" t="e">
        <f t="shared" si="418"/>
        <v>#NUM!</v>
      </c>
      <c r="AN478" s="51" t="e">
        <f t="shared" si="439"/>
        <v>#NUM!</v>
      </c>
      <c r="AO478" s="51" t="e">
        <f t="shared" si="440"/>
        <v>#NUM!</v>
      </c>
      <c r="AP478" s="60" t="e">
        <f t="shared" si="441"/>
        <v>#NUM!</v>
      </c>
      <c r="AQ478" s="51" t="e">
        <f t="shared" si="442"/>
        <v>#NUM!</v>
      </c>
      <c r="AR478" s="63" t="e">
        <f t="shared" si="443"/>
        <v>#NUM!</v>
      </c>
      <c r="AS478" s="32" t="str">
        <f t="shared" si="419"/>
        <v>-0.000170731707317073</v>
      </c>
      <c r="AT478" s="32" t="str">
        <f t="shared" si="420"/>
        <v>0.0950524827387737i</v>
      </c>
      <c r="AU478" s="32">
        <f t="shared" si="444"/>
        <v>9.5052482738773703E-2</v>
      </c>
      <c r="AV478" s="32">
        <f t="shared" si="445"/>
        <v>1.5707963267948966</v>
      </c>
      <c r="AW478" s="32" t="str">
        <f t="shared" si="421"/>
        <v>1+20.2374898152414i</v>
      </c>
      <c r="AX478" s="32">
        <f t="shared" si="446"/>
        <v>20.262181373731689</v>
      </c>
      <c r="AY478" s="32">
        <f t="shared" si="447"/>
        <v>1.5214232419967886</v>
      </c>
      <c r="AZ478" s="32" t="str">
        <f t="shared" si="422"/>
        <v>1+384.512306489587i</v>
      </c>
      <c r="BA478" s="32">
        <f t="shared" si="448"/>
        <v>384.51360683588575</v>
      </c>
      <c r="BB478" s="32">
        <f t="shared" si="449"/>
        <v>1.5681956356633253</v>
      </c>
      <c r="BC478" s="60" t="str">
        <f t="shared" si="450"/>
        <v>-0.00159370329118665+0.0340487376890037i</v>
      </c>
      <c r="BD478" s="51">
        <f t="shared" si="451"/>
        <v>-29.348475347754238</v>
      </c>
      <c r="BE478" s="63">
        <f t="shared" si="452"/>
        <v>92.679860754816971</v>
      </c>
      <c r="BF478" s="60" t="str">
        <f t="shared" si="453"/>
        <v>-0.000161307444507413-0.00326855972109537i</v>
      </c>
      <c r="BG478" s="66">
        <f t="shared" si="454"/>
        <v>-49.702306936322024</v>
      </c>
      <c r="BH478" s="63">
        <f t="shared" si="455"/>
        <v>-92.825324980272555</v>
      </c>
      <c r="BI478" s="60" t="e">
        <f t="shared" si="409"/>
        <v>#NUM!</v>
      </c>
      <c r="BJ478" s="66" t="e">
        <f t="shared" si="456"/>
        <v>#NUM!</v>
      </c>
      <c r="BK478" s="63" t="e">
        <f t="shared" si="410"/>
        <v>#NUM!</v>
      </c>
      <c r="BL478" s="51">
        <f t="shared" si="457"/>
        <v>-49.702306936322024</v>
      </c>
      <c r="BM478" s="63">
        <f t="shared" si="458"/>
        <v>-92.825324980272555</v>
      </c>
    </row>
    <row r="479" spans="14:65" x14ac:dyDescent="0.3">
      <c r="N479" s="11">
        <v>61</v>
      </c>
      <c r="O479" s="52">
        <f t="shared" si="408"/>
        <v>407380.27780411334</v>
      </c>
      <c r="P479" s="50" t="str">
        <f t="shared" si="411"/>
        <v>23.3035714285714</v>
      </c>
      <c r="Q479" s="18" t="str">
        <f t="shared" si="412"/>
        <v>1+1371.23880853582i</v>
      </c>
      <c r="R479" s="18">
        <f t="shared" si="423"/>
        <v>1371.2391731695586</v>
      </c>
      <c r="S479" s="18">
        <f t="shared" si="424"/>
        <v>1.5700670593496506</v>
      </c>
      <c r="T479" s="18" t="str">
        <f t="shared" si="413"/>
        <v>1+2.55964577593354i</v>
      </c>
      <c r="U479" s="18">
        <f t="shared" si="425"/>
        <v>2.7480514002206022</v>
      </c>
      <c r="V479" s="18">
        <f t="shared" si="426"/>
        <v>1.1983509797532714</v>
      </c>
      <c r="W479" s="32" t="str">
        <f t="shared" si="414"/>
        <v>1-6.25691189672643i</v>
      </c>
      <c r="X479" s="18">
        <f t="shared" si="427"/>
        <v>6.3363196323573145</v>
      </c>
      <c r="Y479" s="18">
        <f t="shared" si="428"/>
        <v>-1.4123134066139766</v>
      </c>
      <c r="Z479" s="32" t="str">
        <f t="shared" si="415"/>
        <v>0.336165237024974+3.07087102853187i</v>
      </c>
      <c r="AA479" s="18">
        <f t="shared" si="429"/>
        <v>3.0892160721549478</v>
      </c>
      <c r="AB479" s="18">
        <f t="shared" si="430"/>
        <v>1.4617614638178631</v>
      </c>
      <c r="AC479" s="68" t="str">
        <f t="shared" si="431"/>
        <v>-0.0952710623196863+0.00996316616460167i</v>
      </c>
      <c r="AD479" s="66">
        <f t="shared" si="432"/>
        <v>-20.373541680860537</v>
      </c>
      <c r="AE479" s="63">
        <f t="shared" si="433"/>
        <v>174.02987738162514</v>
      </c>
      <c r="AF479" s="51" t="e">
        <f t="shared" si="434"/>
        <v>#NUM!</v>
      </c>
      <c r="AG479" s="51" t="str">
        <f t="shared" si="416"/>
        <v>1-1919.73433195016i</v>
      </c>
      <c r="AH479" s="51">
        <f t="shared" si="435"/>
        <v>1919.7345924028473</v>
      </c>
      <c r="AI479" s="51">
        <f t="shared" si="436"/>
        <v>-1.5702754214316339</v>
      </c>
      <c r="AJ479" s="51" t="str">
        <f t="shared" si="417"/>
        <v>1+2.55964577593354i</v>
      </c>
      <c r="AK479" s="51">
        <f t="shared" si="437"/>
        <v>2.7480514002206022</v>
      </c>
      <c r="AL479" s="51">
        <f t="shared" si="438"/>
        <v>1.1983509797532714</v>
      </c>
      <c r="AM479" s="51" t="e">
        <f t="shared" si="418"/>
        <v>#NUM!</v>
      </c>
      <c r="AN479" s="51" t="e">
        <f t="shared" si="439"/>
        <v>#NUM!</v>
      </c>
      <c r="AO479" s="51" t="e">
        <f t="shared" si="440"/>
        <v>#NUM!</v>
      </c>
      <c r="AP479" s="60" t="e">
        <f t="shared" si="441"/>
        <v>#NUM!</v>
      </c>
      <c r="AQ479" s="51" t="e">
        <f t="shared" si="442"/>
        <v>#NUM!</v>
      </c>
      <c r="AR479" s="63" t="e">
        <f t="shared" si="443"/>
        <v>#NUM!</v>
      </c>
      <c r="AS479" s="32" t="str">
        <f t="shared" si="419"/>
        <v>-0.000170731707317073</v>
      </c>
      <c r="AT479" s="32" t="str">
        <f t="shared" si="420"/>
        <v>0.0972665394854746i</v>
      </c>
      <c r="AU479" s="32">
        <f t="shared" si="444"/>
        <v>9.7266539485474604E-2</v>
      </c>
      <c r="AV479" s="32">
        <f t="shared" si="445"/>
        <v>1.5707963267948966</v>
      </c>
      <c r="AW479" s="32" t="str">
        <f t="shared" si="421"/>
        <v>1+20.7088815092896i</v>
      </c>
      <c r="AX479" s="32">
        <f t="shared" si="446"/>
        <v>20.733011681031694</v>
      </c>
      <c r="AY479" s="32">
        <f t="shared" si="447"/>
        <v>1.5225453468123622</v>
      </c>
      <c r="AZ479" s="32" t="str">
        <f t="shared" si="422"/>
        <v>1+393.468748676504i</v>
      </c>
      <c r="BA479" s="32">
        <f t="shared" si="448"/>
        <v>393.47001942340393</v>
      </c>
      <c r="BB479" s="32">
        <f t="shared" si="449"/>
        <v>1.5682548343630289</v>
      </c>
      <c r="BC479" s="60" t="str">
        <f t="shared" si="450"/>
        <v>-0.0015221416929745+0.0332771493956406i</v>
      </c>
      <c r="BD479" s="51">
        <f t="shared" si="451"/>
        <v>-29.548000546117006</v>
      </c>
      <c r="BE479" s="63">
        <f t="shared" si="452"/>
        <v>92.61896072035897</v>
      </c>
      <c r="BF479" s="60" t="str">
        <f t="shared" si="453"/>
        <v>-0.000186529712822275-0.00318551472450676i</v>
      </c>
      <c r="BG479" s="66">
        <f t="shared" si="454"/>
        <v>-49.92154222697755</v>
      </c>
      <c r="BH479" s="63">
        <f t="shared" si="455"/>
        <v>-93.35116189801586</v>
      </c>
      <c r="BI479" s="60" t="e">
        <f t="shared" si="409"/>
        <v>#NUM!</v>
      </c>
      <c r="BJ479" s="66" t="e">
        <f t="shared" si="456"/>
        <v>#NUM!</v>
      </c>
      <c r="BK479" s="63" t="e">
        <f t="shared" si="410"/>
        <v>#NUM!</v>
      </c>
      <c r="BL479" s="51">
        <f t="shared" si="457"/>
        <v>-49.92154222697755</v>
      </c>
      <c r="BM479" s="63">
        <f t="shared" si="458"/>
        <v>-93.35116189801586</v>
      </c>
    </row>
    <row r="480" spans="14:65" x14ac:dyDescent="0.3">
      <c r="N480" s="11">
        <v>62</v>
      </c>
      <c r="O480" s="52">
        <f t="shared" si="408"/>
        <v>416869.38347033598</v>
      </c>
      <c r="P480" s="50" t="str">
        <f t="shared" si="411"/>
        <v>23.3035714285714</v>
      </c>
      <c r="Q480" s="18" t="str">
        <f t="shared" si="412"/>
        <v>1+1403.17906351812i</v>
      </c>
      <c r="R480" s="18">
        <f t="shared" si="423"/>
        <v>1403.1794198517837</v>
      </c>
      <c r="S480" s="18">
        <f t="shared" si="424"/>
        <v>1.5700836594976848</v>
      </c>
      <c r="T480" s="18" t="str">
        <f t="shared" si="413"/>
        <v>1+2.61926758523383i</v>
      </c>
      <c r="U480" s="18">
        <f t="shared" si="425"/>
        <v>2.8036695031791212</v>
      </c>
      <c r="V480" s="18">
        <f t="shared" si="426"/>
        <v>1.2060894980983003</v>
      </c>
      <c r="W480" s="32" t="str">
        <f t="shared" si="414"/>
        <v>1-6.40265409723825i</v>
      </c>
      <c r="X480" s="18">
        <f t="shared" si="427"/>
        <v>6.4802761892439245</v>
      </c>
      <c r="Y480" s="18">
        <f t="shared" si="428"/>
        <v>-1.4158628123075481</v>
      </c>
      <c r="Z480" s="32" t="str">
        <f t="shared" si="415"/>
        <v>0.304879668500245+3.14240080369466i</v>
      </c>
      <c r="AA480" s="18">
        <f t="shared" si="429"/>
        <v>3.157156065722071</v>
      </c>
      <c r="AB480" s="18">
        <f t="shared" si="430"/>
        <v>1.474077788660406</v>
      </c>
      <c r="AC480" s="68" t="str">
        <f t="shared" si="431"/>
        <v>-0.0949701701646936+0.0107142611591329i</v>
      </c>
      <c r="AD480" s="66">
        <f t="shared" si="432"/>
        <v>-20.393328775930506</v>
      </c>
      <c r="AE480" s="63">
        <f t="shared" si="433"/>
        <v>173.56327130544705</v>
      </c>
      <c r="AF480" s="51" t="e">
        <f t="shared" si="434"/>
        <v>#NUM!</v>
      </c>
      <c r="AG480" s="51" t="str">
        <f t="shared" si="416"/>
        <v>1-1964.45068892538i</v>
      </c>
      <c r="AH480" s="51">
        <f t="shared" si="435"/>
        <v>1964.4509434494416</v>
      </c>
      <c r="AI480" s="51">
        <f t="shared" si="436"/>
        <v>-1.5702872786832485</v>
      </c>
      <c r="AJ480" s="51" t="str">
        <f t="shared" si="417"/>
        <v>1+2.61926758523383i</v>
      </c>
      <c r="AK480" s="51">
        <f t="shared" si="437"/>
        <v>2.8036695031791212</v>
      </c>
      <c r="AL480" s="51">
        <f t="shared" si="438"/>
        <v>1.2060894980983003</v>
      </c>
      <c r="AM480" s="51" t="e">
        <f t="shared" si="418"/>
        <v>#NUM!</v>
      </c>
      <c r="AN480" s="51" t="e">
        <f t="shared" si="439"/>
        <v>#NUM!</v>
      </c>
      <c r="AO480" s="51" t="e">
        <f t="shared" si="440"/>
        <v>#NUM!</v>
      </c>
      <c r="AP480" s="60" t="e">
        <f t="shared" si="441"/>
        <v>#NUM!</v>
      </c>
      <c r="AQ480" s="51" t="e">
        <f t="shared" si="442"/>
        <v>#NUM!</v>
      </c>
      <c r="AR480" s="63" t="e">
        <f t="shared" si="443"/>
        <v>#NUM!</v>
      </c>
      <c r="AS480" s="32" t="str">
        <f t="shared" si="419"/>
        <v>-0.000170731707317073</v>
      </c>
      <c r="AT480" s="32" t="str">
        <f t="shared" si="420"/>
        <v>0.0995321682388855i</v>
      </c>
      <c r="AU480" s="32">
        <f t="shared" si="444"/>
        <v>9.9532168238885499E-2</v>
      </c>
      <c r="AV480" s="32">
        <f t="shared" si="445"/>
        <v>1.5707963267948966</v>
      </c>
      <c r="AW480" s="32" t="str">
        <f t="shared" si="421"/>
        <v>1+21.1912533264286i</v>
      </c>
      <c r="AX480" s="32">
        <f t="shared" si="446"/>
        <v>21.214834846042788</v>
      </c>
      <c r="AY480" s="32">
        <f t="shared" si="447"/>
        <v>1.5236420269185795</v>
      </c>
      <c r="AZ480" s="32" t="str">
        <f t="shared" si="422"/>
        <v>1+402.633813202144i</v>
      </c>
      <c r="BA480" s="32">
        <f t="shared" si="448"/>
        <v>402.63505502340331</v>
      </c>
      <c r="BB480" s="32">
        <f t="shared" si="449"/>
        <v>1.5683126855530241</v>
      </c>
      <c r="BC480" s="60" t="str">
        <f t="shared" si="450"/>
        <v>-0.00145378624749877+0.0325228946410258i</v>
      </c>
      <c r="BD480" s="51">
        <f t="shared" si="451"/>
        <v>-29.747547065341774</v>
      </c>
      <c r="BE480" s="63">
        <f t="shared" si="452"/>
        <v>92.5594402078233</v>
      </c>
      <c r="BF480" s="60" t="str">
        <f t="shared" si="453"/>
        <v>-0.000210392459526865-0.00310428108383188i</v>
      </c>
      <c r="BG480" s="66">
        <f t="shared" si="454"/>
        <v>-50.140875841272276</v>
      </c>
      <c r="BH480" s="63">
        <f t="shared" si="455"/>
        <v>-93.877288486729654</v>
      </c>
      <c r="BI480" s="60" t="e">
        <f t="shared" si="409"/>
        <v>#NUM!</v>
      </c>
      <c r="BJ480" s="66" t="e">
        <f t="shared" si="456"/>
        <v>#NUM!</v>
      </c>
      <c r="BK480" s="63" t="e">
        <f t="shared" si="410"/>
        <v>#NUM!</v>
      </c>
      <c r="BL480" s="51">
        <f t="shared" si="457"/>
        <v>-50.140875841272276</v>
      </c>
      <c r="BM480" s="63">
        <f t="shared" si="458"/>
        <v>-93.877288486729654</v>
      </c>
    </row>
    <row r="481" spans="14:65" x14ac:dyDescent="0.3">
      <c r="N481" s="11">
        <v>63</v>
      </c>
      <c r="O481" s="52">
        <f t="shared" si="408"/>
        <v>426579.51880159322</v>
      </c>
      <c r="P481" s="50" t="str">
        <f t="shared" si="411"/>
        <v>23.3035714285714</v>
      </c>
      <c r="Q481" s="18" t="str">
        <f t="shared" si="412"/>
        <v>1+1435.86330261316i</v>
      </c>
      <c r="R481" s="18">
        <f t="shared" si="423"/>
        <v>1435.8636508356813</v>
      </c>
      <c r="S481" s="18">
        <f t="shared" si="424"/>
        <v>1.5700998817805965</v>
      </c>
      <c r="T481" s="18" t="str">
        <f t="shared" si="413"/>
        <v>1+2.68027816487791i</v>
      </c>
      <c r="U481" s="18">
        <f t="shared" si="425"/>
        <v>2.8607500836531137</v>
      </c>
      <c r="V481" s="18">
        <f t="shared" si="426"/>
        <v>1.2136963086891737</v>
      </c>
      <c r="W481" s="32" t="str">
        <f t="shared" si="414"/>
        <v>1-6.55179106970156i</v>
      </c>
      <c r="X481" s="18">
        <f t="shared" si="427"/>
        <v>6.6276667252526442</v>
      </c>
      <c r="Y481" s="18">
        <f t="shared" si="428"/>
        <v>-1.4193352304589584</v>
      </c>
      <c r="Z481" s="32" t="str">
        <f t="shared" si="415"/>
        <v>0.272119656556002+3.21559672135815i</v>
      </c>
      <c r="AA481" s="18">
        <f t="shared" si="429"/>
        <v>3.2270902345446491</v>
      </c>
      <c r="AB481" s="18">
        <f t="shared" si="430"/>
        <v>1.4863725407884929</v>
      </c>
      <c r="AC481" s="68" t="str">
        <f t="shared" si="431"/>
        <v>-0.0946623059878431+0.0114641355876438i</v>
      </c>
      <c r="AD481" s="66">
        <f t="shared" si="432"/>
        <v>-20.4132248983497</v>
      </c>
      <c r="AE481" s="63">
        <f t="shared" si="433"/>
        <v>173.0947876676353</v>
      </c>
      <c r="AF481" s="51" t="e">
        <f t="shared" si="434"/>
        <v>#NUM!</v>
      </c>
      <c r="AG481" s="51" t="str">
        <f t="shared" si="416"/>
        <v>1-2010.20862365844i</v>
      </c>
      <c r="AH481" s="51">
        <f t="shared" si="435"/>
        <v>2010.2088723888273</v>
      </c>
      <c r="AI481" s="51">
        <f t="shared" si="436"/>
        <v>-1.5702988660310029</v>
      </c>
      <c r="AJ481" s="51" t="str">
        <f t="shared" si="417"/>
        <v>1+2.68027816487791i</v>
      </c>
      <c r="AK481" s="51">
        <f t="shared" si="437"/>
        <v>2.8607500836531137</v>
      </c>
      <c r="AL481" s="51">
        <f t="shared" si="438"/>
        <v>1.2136963086891737</v>
      </c>
      <c r="AM481" s="51" t="e">
        <f t="shared" si="418"/>
        <v>#NUM!</v>
      </c>
      <c r="AN481" s="51" t="e">
        <f t="shared" si="439"/>
        <v>#NUM!</v>
      </c>
      <c r="AO481" s="51" t="e">
        <f t="shared" si="440"/>
        <v>#NUM!</v>
      </c>
      <c r="AP481" s="60" t="e">
        <f t="shared" si="441"/>
        <v>#NUM!</v>
      </c>
      <c r="AQ481" s="51" t="e">
        <f t="shared" si="442"/>
        <v>#NUM!</v>
      </c>
      <c r="AR481" s="63" t="e">
        <f t="shared" si="443"/>
        <v>#NUM!</v>
      </c>
      <c r="AS481" s="32" t="str">
        <f t="shared" si="419"/>
        <v>-0.000170731707317073</v>
      </c>
      <c r="AT481" s="32" t="str">
        <f t="shared" si="420"/>
        <v>0.101850570265361i</v>
      </c>
      <c r="AU481" s="32">
        <f t="shared" si="444"/>
        <v>0.101850570265361</v>
      </c>
      <c r="AV481" s="32">
        <f t="shared" si="445"/>
        <v>1.5707963267948966</v>
      </c>
      <c r="AW481" s="32" t="str">
        <f t="shared" si="421"/>
        <v>1+21.6848610265806i</v>
      </c>
      <c r="AX481" s="32">
        <f t="shared" si="446"/>
        <v>21.707906341748256</v>
      </c>
      <c r="AY481" s="32">
        <f t="shared" si="447"/>
        <v>1.5247138532318694</v>
      </c>
      <c r="AZ481" s="32" t="str">
        <f t="shared" si="422"/>
        <v>1+412.012359505033i</v>
      </c>
      <c r="BA481" s="32">
        <f t="shared" si="448"/>
        <v>412.01357305907356</v>
      </c>
      <c r="BB481" s="32">
        <f t="shared" si="449"/>
        <v>1.5683692199052279</v>
      </c>
      <c r="BC481" s="60" t="str">
        <f t="shared" si="450"/>
        <v>-0.00138849393893367+0.0317855941391742i</v>
      </c>
      <c r="BD481" s="51">
        <f t="shared" si="451"/>
        <v>-29.9471139501102</v>
      </c>
      <c r="BE481" s="63">
        <f t="shared" si="452"/>
        <v>92.501268263479503</v>
      </c>
      <c r="BF481" s="60" t="str">
        <f t="shared" si="453"/>
        <v>-0.000232956322835705-0.00302481552118646i</v>
      </c>
      <c r="BG481" s="66">
        <f t="shared" si="454"/>
        <v>-50.36033884845989</v>
      </c>
      <c r="BH481" s="63">
        <f t="shared" si="455"/>
        <v>-94.403944068885195</v>
      </c>
      <c r="BI481" s="60" t="e">
        <f t="shared" si="409"/>
        <v>#NUM!</v>
      </c>
      <c r="BJ481" s="66" t="e">
        <f t="shared" si="456"/>
        <v>#NUM!</v>
      </c>
      <c r="BK481" s="63" t="e">
        <f t="shared" si="410"/>
        <v>#NUM!</v>
      </c>
      <c r="BL481" s="51">
        <f t="shared" si="457"/>
        <v>-50.36033884845989</v>
      </c>
      <c r="BM481" s="63">
        <f t="shared" si="458"/>
        <v>-94.403944068885195</v>
      </c>
    </row>
    <row r="482" spans="14:65" x14ac:dyDescent="0.3">
      <c r="N482" s="11">
        <v>64</v>
      </c>
      <c r="O482" s="52">
        <f t="shared" si="408"/>
        <v>436515.83224016649</v>
      </c>
      <c r="P482" s="50" t="str">
        <f t="shared" si="411"/>
        <v>23.3035714285714</v>
      </c>
      <c r="Q482" s="18" t="str">
        <f t="shared" si="412"/>
        <v>1+1469.30885543715i</v>
      </c>
      <c r="R482" s="18">
        <f t="shared" si="423"/>
        <v>1469.3091957331608</v>
      </c>
      <c r="S482" s="18">
        <f t="shared" si="424"/>
        <v>1.5701157347996209</v>
      </c>
      <c r="T482" s="18" t="str">
        <f t="shared" si="413"/>
        <v>1+2.74270986348268i</v>
      </c>
      <c r="U482" s="18">
        <f t="shared" si="425"/>
        <v>2.9193248183861251</v>
      </c>
      <c r="V482" s="18">
        <f t="shared" si="426"/>
        <v>1.2211719224963915</v>
      </c>
      <c r="W482" s="32" t="str">
        <f t="shared" si="414"/>
        <v>1-6.70440188851322i</v>
      </c>
      <c r="X482" s="18">
        <f t="shared" si="427"/>
        <v>6.7785695159598118</v>
      </c>
      <c r="Y482" s="18">
        <f t="shared" si="428"/>
        <v>-1.4227321670633815</v>
      </c>
      <c r="Z482" s="32" t="str">
        <f t="shared" si="415"/>
        <v>0.2378157128147+3.29049759096676i</v>
      </c>
      <c r="AA482" s="18">
        <f t="shared" si="429"/>
        <v>3.2990802823544043</v>
      </c>
      <c r="AB482" s="18">
        <f t="shared" si="430"/>
        <v>1.4986482926860416</v>
      </c>
      <c r="AC482" s="68" t="str">
        <f t="shared" si="431"/>
        <v>-0.0943470590940458+0.012212988118149i</v>
      </c>
      <c r="AD482" s="66">
        <f t="shared" si="432"/>
        <v>-20.433262449949922</v>
      </c>
      <c r="AE482" s="63">
        <f t="shared" si="433"/>
        <v>172.62422157218981</v>
      </c>
      <c r="AF482" s="51" t="e">
        <f t="shared" si="434"/>
        <v>#NUM!</v>
      </c>
      <c r="AG482" s="51" t="str">
        <f t="shared" si="416"/>
        <v>1-2057.03239761202i</v>
      </c>
      <c r="AH482" s="51">
        <f t="shared" si="435"/>
        <v>2057.032640680613</v>
      </c>
      <c r="AI482" s="51">
        <f t="shared" si="436"/>
        <v>-1.5703101896186498</v>
      </c>
      <c r="AJ482" s="51" t="str">
        <f t="shared" si="417"/>
        <v>1+2.74270986348268i</v>
      </c>
      <c r="AK482" s="51">
        <f t="shared" si="437"/>
        <v>2.9193248183861251</v>
      </c>
      <c r="AL482" s="51">
        <f t="shared" si="438"/>
        <v>1.2211719224963915</v>
      </c>
      <c r="AM482" s="51" t="e">
        <f t="shared" si="418"/>
        <v>#NUM!</v>
      </c>
      <c r="AN482" s="51" t="e">
        <f t="shared" si="439"/>
        <v>#NUM!</v>
      </c>
      <c r="AO482" s="51" t="e">
        <f t="shared" si="440"/>
        <v>#NUM!</v>
      </c>
      <c r="AP482" s="60" t="e">
        <f t="shared" si="441"/>
        <v>#NUM!</v>
      </c>
      <c r="AQ482" s="51" t="e">
        <f t="shared" si="442"/>
        <v>#NUM!</v>
      </c>
      <c r="AR482" s="63" t="e">
        <f t="shared" si="443"/>
        <v>#NUM!</v>
      </c>
      <c r="AS482" s="32" t="str">
        <f t="shared" si="419"/>
        <v>-0.000170731707317073</v>
      </c>
      <c r="AT482" s="32" t="str">
        <f t="shared" si="420"/>
        <v>0.104222974812342i</v>
      </c>
      <c r="AU482" s="32">
        <f t="shared" si="444"/>
        <v>0.104222974812342</v>
      </c>
      <c r="AV482" s="32">
        <f t="shared" si="445"/>
        <v>1.5707963267948966</v>
      </c>
      <c r="AW482" s="32" t="str">
        <f t="shared" si="421"/>
        <v>1+22.189966327082i</v>
      </c>
      <c r="AX482" s="32">
        <f t="shared" si="446"/>
        <v>22.212487604881922</v>
      </c>
      <c r="AY482" s="32">
        <f t="shared" si="447"/>
        <v>1.5257613841925155</v>
      </c>
      <c r="AZ482" s="32" t="str">
        <f t="shared" si="422"/>
        <v>1+421.609360214558i</v>
      </c>
      <c r="BA482" s="32">
        <f t="shared" si="448"/>
        <v>421.61054614481469</v>
      </c>
      <c r="BB482" s="32">
        <f t="shared" si="449"/>
        <v>1.568424467393456</v>
      </c>
      <c r="BC482" s="60" t="str">
        <f t="shared" si="450"/>
        <v>-0.00132612807571644+0.0310648762263874i</v>
      </c>
      <c r="BD482" s="51">
        <f t="shared" si="451"/>
        <v>-30.146700287725089</v>
      </c>
      <c r="BE482" s="63">
        <f t="shared" si="452"/>
        <v>92.444414608429369</v>
      </c>
      <c r="BF482" s="60" t="str">
        <f t="shared" si="453"/>
        <v>-0.000254278680318746-0.00294707569951206i</v>
      </c>
      <c r="BG482" s="66">
        <f t="shared" si="454"/>
        <v>-50.579962737675011</v>
      </c>
      <c r="BH482" s="63">
        <f t="shared" si="455"/>
        <v>-94.931363819380806</v>
      </c>
      <c r="BI482" s="60" t="e">
        <f t="shared" si="409"/>
        <v>#NUM!</v>
      </c>
      <c r="BJ482" s="66" t="e">
        <f t="shared" si="456"/>
        <v>#NUM!</v>
      </c>
      <c r="BK482" s="63" t="e">
        <f t="shared" si="410"/>
        <v>#NUM!</v>
      </c>
      <c r="BL482" s="51">
        <f t="shared" si="457"/>
        <v>-50.579962737675011</v>
      </c>
      <c r="BM482" s="63">
        <f t="shared" si="458"/>
        <v>-94.931363819380806</v>
      </c>
    </row>
    <row r="483" spans="14:65" x14ac:dyDescent="0.3">
      <c r="N483" s="11">
        <v>65</v>
      </c>
      <c r="O483" s="52">
        <f t="shared" si="408"/>
        <v>446683.59215096442</v>
      </c>
      <c r="P483" s="50" t="str">
        <f t="shared" si="411"/>
        <v>23.3035714285714</v>
      </c>
      <c r="Q483" s="18" t="str">
        <f t="shared" si="412"/>
        <v>1+1503.53345526489i</v>
      </c>
      <c r="R483" s="18">
        <f t="shared" si="423"/>
        <v>1503.5337878148198</v>
      </c>
      <c r="S483" s="18">
        <f t="shared" si="424"/>
        <v>1.5701312269602068</v>
      </c>
      <c r="T483" s="18" t="str">
        <f t="shared" si="413"/>
        <v>1+2.80659578316114i</v>
      </c>
      <c r="U483" s="18">
        <f t="shared" si="425"/>
        <v>2.9794261007881859</v>
      </c>
      <c r="V483" s="18">
        <f t="shared" si="426"/>
        <v>1.228516960018154</v>
      </c>
      <c r="W483" s="32" t="str">
        <f t="shared" si="414"/>
        <v>1-6.86056746994945i</v>
      </c>
      <c r="X483" s="18">
        <f t="shared" si="427"/>
        <v>6.9330646910099283</v>
      </c>
      <c r="Y483" s="18">
        <f t="shared" si="428"/>
        <v>-1.4260551094766667</v>
      </c>
      <c r="Z483" s="32" t="str">
        <f t="shared" si="415"/>
        <v>0.201895074012441+3.367143125953i</v>
      </c>
      <c r="AA483" s="18">
        <f t="shared" si="429"/>
        <v>3.3731905448051744</v>
      </c>
      <c r="AB483" s="18">
        <f t="shared" si="430"/>
        <v>1.5109076814095184</v>
      </c>
      <c r="AC483" s="68" t="str">
        <f t="shared" si="431"/>
        <v>-0.0940240106808474+0.0129609945270416i</v>
      </c>
      <c r="AD483" s="66">
        <f t="shared" si="432"/>
        <v>-20.453474224520797</v>
      </c>
      <c r="AE483" s="63">
        <f t="shared" si="433"/>
        <v>172.1513717780231</v>
      </c>
      <c r="AF483" s="51" t="e">
        <f t="shared" si="434"/>
        <v>#NUM!</v>
      </c>
      <c r="AG483" s="51" t="str">
        <f t="shared" si="416"/>
        <v>1-2104.94683737086i</v>
      </c>
      <c r="AH483" s="51">
        <f t="shared" si="435"/>
        <v>2104.9470749065372</v>
      </c>
      <c r="AI483" s="51">
        <f t="shared" si="436"/>
        <v>-1.5703212554500934</v>
      </c>
      <c r="AJ483" s="51" t="str">
        <f t="shared" si="417"/>
        <v>1+2.80659578316114i</v>
      </c>
      <c r="AK483" s="51">
        <f t="shared" si="437"/>
        <v>2.9794261007881859</v>
      </c>
      <c r="AL483" s="51">
        <f t="shared" si="438"/>
        <v>1.228516960018154</v>
      </c>
      <c r="AM483" s="51" t="e">
        <f t="shared" si="418"/>
        <v>#NUM!</v>
      </c>
      <c r="AN483" s="51" t="e">
        <f t="shared" si="439"/>
        <v>#NUM!</v>
      </c>
      <c r="AO483" s="51" t="e">
        <f t="shared" si="440"/>
        <v>#NUM!</v>
      </c>
      <c r="AP483" s="60" t="e">
        <f t="shared" si="441"/>
        <v>#NUM!</v>
      </c>
      <c r="AQ483" s="51" t="e">
        <f t="shared" si="442"/>
        <v>#NUM!</v>
      </c>
      <c r="AR483" s="63" t="e">
        <f t="shared" si="443"/>
        <v>#NUM!</v>
      </c>
      <c r="AS483" s="32" t="str">
        <f t="shared" si="419"/>
        <v>-0.000170731707317073</v>
      </c>
      <c r="AT483" s="32" t="str">
        <f t="shared" si="420"/>
        <v>0.106650639760123i</v>
      </c>
      <c r="AU483" s="32">
        <f t="shared" si="444"/>
        <v>0.106650639760123</v>
      </c>
      <c r="AV483" s="32">
        <f t="shared" si="445"/>
        <v>1.5707963267948966</v>
      </c>
      <c r="AW483" s="32" t="str">
        <f t="shared" si="421"/>
        <v>1+22.7068370414489i</v>
      </c>
      <c r="AX483" s="32">
        <f t="shared" si="446"/>
        <v>22.728846174562314</v>
      </c>
      <c r="AY483" s="32">
        <f t="shared" si="447"/>
        <v>1.5267851660142433</v>
      </c>
      <c r="AZ483" s="32" t="str">
        <f t="shared" si="422"/>
        <v>1+431.429903787531i</v>
      </c>
      <c r="BA483" s="32">
        <f t="shared" si="448"/>
        <v>431.4310627227926</v>
      </c>
      <c r="BB483" s="32">
        <f t="shared" si="449"/>
        <v>1.5684784573093076</v>
      </c>
      <c r="BC483" s="60" t="str">
        <f t="shared" si="450"/>
        <v>-0.00126655801573861+0.0303603767543706i</v>
      </c>
      <c r="BD483" s="51">
        <f t="shared" si="451"/>
        <v>-30.346305206225036</v>
      </c>
      <c r="BE483" s="63">
        <f t="shared" si="452"/>
        <v>92.388849625216736</v>
      </c>
      <c r="BF483" s="60" t="str">
        <f t="shared" si="453"/>
        <v>-0.000274413812552598-0.00287102023973766i</v>
      </c>
      <c r="BG483" s="66">
        <f t="shared" si="454"/>
        <v>-50.799779430745829</v>
      </c>
      <c r="BH483" s="63">
        <f t="shared" si="455"/>
        <v>-95.459778596760145</v>
      </c>
      <c r="BI483" s="60" t="e">
        <f t="shared" si="409"/>
        <v>#NUM!</v>
      </c>
      <c r="BJ483" s="66" t="e">
        <f t="shared" si="456"/>
        <v>#NUM!</v>
      </c>
      <c r="BK483" s="63" t="e">
        <f t="shared" si="410"/>
        <v>#NUM!</v>
      </c>
      <c r="BL483" s="51">
        <f t="shared" si="457"/>
        <v>-50.799779430745829</v>
      </c>
      <c r="BM483" s="63">
        <f t="shared" si="458"/>
        <v>-95.459778596760145</v>
      </c>
    </row>
    <row r="484" spans="14:65" x14ac:dyDescent="0.3">
      <c r="N484" s="11">
        <v>66</v>
      </c>
      <c r="O484" s="52">
        <f t="shared" ref="O484:O518" si="459">10^(5+(N484/100))</f>
        <v>457088.18961487547</v>
      </c>
      <c r="P484" s="50" t="str">
        <f t="shared" si="411"/>
        <v>23.3035714285714</v>
      </c>
      <c r="Q484" s="18" t="str">
        <f t="shared" si="412"/>
        <v>1+1538.55524843223i</v>
      </c>
      <c r="R484" s="18">
        <f t="shared" si="423"/>
        <v>1538.5555734124007</v>
      </c>
      <c r="S484" s="18">
        <f t="shared" si="424"/>
        <v>1.5701463664764728</v>
      </c>
      <c r="T484" s="18" t="str">
        <f t="shared" si="413"/>
        <v>1+2.8719697970735i</v>
      </c>
      <c r="U484" s="18">
        <f t="shared" si="425"/>
        <v>3.0410870614473371</v>
      </c>
      <c r="V484" s="18">
        <f t="shared" si="426"/>
        <v>1.2357321446317238</v>
      </c>
      <c r="W484" s="32" t="str">
        <f t="shared" si="414"/>
        <v>1-7.02037061506856i</v>
      </c>
      <c r="X484" s="18">
        <f t="shared" si="427"/>
        <v>7.091234277114113</v>
      </c>
      <c r="Y484" s="18">
        <f t="shared" si="428"/>
        <v>-1.4293055258804359</v>
      </c>
      <c r="Z484" s="32" t="str">
        <f t="shared" si="415"/>
        <v>0.164281547658382+3.445573964794i</v>
      </c>
      <c r="AA484" s="18">
        <f t="shared" si="429"/>
        <v>3.4494881321389226</v>
      </c>
      <c r="AB484" s="18">
        <f t="shared" si="430"/>
        <v>1.5231533992463617</v>
      </c>
      <c r="AC484" s="68" t="str">
        <f t="shared" si="431"/>
        <v>-0.0936927343750148+0.0137083070931459i</v>
      </c>
      <c r="AD484" s="66">
        <f t="shared" si="432"/>
        <v>-20.473893422485737</v>
      </c>
      <c r="AE484" s="63">
        <f t="shared" si="433"/>
        <v>171.67604088364726</v>
      </c>
      <c r="AF484" s="51" t="e">
        <f t="shared" si="434"/>
        <v>#NUM!</v>
      </c>
      <c r="AG484" s="51" t="str">
        <f t="shared" si="416"/>
        <v>1-2153.97734780513i</v>
      </c>
      <c r="AH484" s="51">
        <f t="shared" si="435"/>
        <v>2153.9775799338354</v>
      </c>
      <c r="AI484" s="51">
        <f t="shared" si="436"/>
        <v>-1.5703320693925735</v>
      </c>
      <c r="AJ484" s="51" t="str">
        <f t="shared" si="417"/>
        <v>1+2.8719697970735i</v>
      </c>
      <c r="AK484" s="51">
        <f t="shared" si="437"/>
        <v>3.0410870614473371</v>
      </c>
      <c r="AL484" s="51">
        <f t="shared" si="438"/>
        <v>1.2357321446317238</v>
      </c>
      <c r="AM484" s="51" t="e">
        <f t="shared" si="418"/>
        <v>#NUM!</v>
      </c>
      <c r="AN484" s="51" t="e">
        <f t="shared" si="439"/>
        <v>#NUM!</v>
      </c>
      <c r="AO484" s="51" t="e">
        <f t="shared" si="440"/>
        <v>#NUM!</v>
      </c>
      <c r="AP484" s="60" t="e">
        <f t="shared" si="441"/>
        <v>#NUM!</v>
      </c>
      <c r="AQ484" s="51" t="e">
        <f t="shared" si="442"/>
        <v>#NUM!</v>
      </c>
      <c r="AR484" s="63" t="e">
        <f t="shared" si="443"/>
        <v>#NUM!</v>
      </c>
      <c r="AS484" s="32" t="str">
        <f t="shared" si="419"/>
        <v>-0.000170731707317073</v>
      </c>
      <c r="AT484" s="32" t="str">
        <f t="shared" si="420"/>
        <v>0.109134852288793i</v>
      </c>
      <c r="AU484" s="32">
        <f t="shared" si="444"/>
        <v>0.10913485228879299</v>
      </c>
      <c r="AV484" s="32">
        <f t="shared" si="445"/>
        <v>1.5707963267948966</v>
      </c>
      <c r="AW484" s="32" t="str">
        <f t="shared" si="421"/>
        <v>1+23.2357472213757i</v>
      </c>
      <c r="AX484" s="32">
        <f t="shared" si="446"/>
        <v>23.257255834162134</v>
      </c>
      <c r="AY484" s="32">
        <f t="shared" si="447"/>
        <v>1.5277857329303945</v>
      </c>
      <c r="AZ484" s="32" t="str">
        <f t="shared" si="422"/>
        <v>1+441.479197206139i</v>
      </c>
      <c r="BA484" s="32">
        <f t="shared" si="448"/>
        <v>441.48032976088189</v>
      </c>
      <c r="BB484" s="32">
        <f t="shared" si="449"/>
        <v>1.5685312182776914</v>
      </c>
      <c r="BC484" s="60" t="str">
        <f t="shared" si="450"/>
        <v>-0.00120965890304989+0.0296717389814312i</v>
      </c>
      <c r="BD484" s="51">
        <f t="shared" si="451"/>
        <v>-30.54592787258099</v>
      </c>
      <c r="BE484" s="63">
        <f t="shared" si="452"/>
        <v>92.334544344612226</v>
      </c>
      <c r="BF484" s="60" t="str">
        <f t="shared" si="453"/>
        <v>-0.000293413059657302-0.00279660873455297i</v>
      </c>
      <c r="BG484" s="66">
        <f t="shared" si="454"/>
        <v>-51.019821295066734</v>
      </c>
      <c r="BH484" s="63">
        <f t="shared" si="455"/>
        <v>-95.989414771740513</v>
      </c>
      <c r="BI484" s="60" t="e">
        <f t="shared" si="409"/>
        <v>#NUM!</v>
      </c>
      <c r="BJ484" s="66" t="e">
        <f t="shared" si="456"/>
        <v>#NUM!</v>
      </c>
      <c r="BK484" s="63" t="e">
        <f t="shared" si="410"/>
        <v>#NUM!</v>
      </c>
      <c r="BL484" s="51">
        <f t="shared" si="457"/>
        <v>-51.019821295066734</v>
      </c>
      <c r="BM484" s="63">
        <f t="shared" si="458"/>
        <v>-95.989414771740513</v>
      </c>
    </row>
    <row r="485" spans="14:65" x14ac:dyDescent="0.3">
      <c r="N485" s="11">
        <v>67</v>
      </c>
      <c r="O485" s="52">
        <f t="shared" si="459"/>
        <v>467735.14128719864</v>
      </c>
      <c r="P485" s="50" t="str">
        <f t="shared" si="411"/>
        <v>23.3035714285714</v>
      </c>
      <c r="Q485" s="18" t="str">
        <f t="shared" si="412"/>
        <v>1+1574.39280395747i</v>
      </c>
      <c r="R485" s="18">
        <f t="shared" si="423"/>
        <v>1574.3931215401904</v>
      </c>
      <c r="S485" s="18">
        <f t="shared" si="424"/>
        <v>1.5701611613755628</v>
      </c>
      <c r="T485" s="18" t="str">
        <f t="shared" si="413"/>
        <v>1+2.93886656738729i</v>
      </c>
      <c r="U485" s="18">
        <f t="shared" si="425"/>
        <v>3.1043415889535666</v>
      </c>
      <c r="V485" s="18">
        <f t="shared" si="426"/>
        <v>1.2428182960638658</v>
      </c>
      <c r="W485" s="32" t="str">
        <f t="shared" si="414"/>
        <v>1-7.18389605361338i</v>
      </c>
      <c r="X485" s="18">
        <f t="shared" si="427"/>
        <v>7.2531622420239508</v>
      </c>
      <c r="Y485" s="18">
        <f t="shared" si="428"/>
        <v>-1.4324848648146118</v>
      </c>
      <c r="Z485" s="32" t="str">
        <f t="shared" si="415"/>
        <v>0.124895350420179+3.52583169255872i</v>
      </c>
      <c r="AA485" s="18">
        <f t="shared" si="429"/>
        <v>3.5280430797834752</v>
      </c>
      <c r="AB485" s="18">
        <f t="shared" si="430"/>
        <v>1.5353881843608939</v>
      </c>
      <c r="AC485" s="68" t="str">
        <f t="shared" si="431"/>
        <v>-0.0933527968089095+0.0144550539763789i</v>
      </c>
      <c r="AD485" s="66">
        <f t="shared" si="432"/>
        <v>-20.494553665439884</v>
      </c>
      <c r="AE485" s="63">
        <f t="shared" si="433"/>
        <v>171.19803551554133</v>
      </c>
      <c r="AF485" s="51" t="e">
        <f t="shared" si="434"/>
        <v>#NUM!</v>
      </c>
      <c r="AG485" s="51" t="str">
        <f t="shared" si="416"/>
        <v>1-2204.14992554047i</v>
      </c>
      <c r="AH485" s="51">
        <f t="shared" si="435"/>
        <v>2204.1501523852817</v>
      </c>
      <c r="AI485" s="51">
        <f t="shared" si="436"/>
        <v>-1.5703426371797751</v>
      </c>
      <c r="AJ485" s="51" t="str">
        <f t="shared" si="417"/>
        <v>1+2.93886656738729i</v>
      </c>
      <c r="AK485" s="51">
        <f t="shared" si="437"/>
        <v>3.1043415889535666</v>
      </c>
      <c r="AL485" s="51">
        <f t="shared" si="438"/>
        <v>1.2428182960638658</v>
      </c>
      <c r="AM485" s="51" t="e">
        <f t="shared" si="418"/>
        <v>#NUM!</v>
      </c>
      <c r="AN485" s="51" t="e">
        <f t="shared" si="439"/>
        <v>#NUM!</v>
      </c>
      <c r="AO485" s="51" t="e">
        <f t="shared" si="440"/>
        <v>#NUM!</v>
      </c>
      <c r="AP485" s="60" t="e">
        <f t="shared" si="441"/>
        <v>#NUM!</v>
      </c>
      <c r="AQ485" s="51" t="e">
        <f t="shared" si="442"/>
        <v>#NUM!</v>
      </c>
      <c r="AR485" s="63" t="e">
        <f t="shared" si="443"/>
        <v>#NUM!</v>
      </c>
      <c r="AS485" s="32" t="str">
        <f t="shared" si="419"/>
        <v>-0.000170731707317073</v>
      </c>
      <c r="AT485" s="32" t="str">
        <f t="shared" si="420"/>
        <v>0.111676929560717i</v>
      </c>
      <c r="AU485" s="32">
        <f t="shared" si="444"/>
        <v>0.11167692956071699</v>
      </c>
      <c r="AV485" s="32">
        <f t="shared" si="445"/>
        <v>1.5707963267948966</v>
      </c>
      <c r="AW485" s="32" t="str">
        <f t="shared" si="421"/>
        <v>1+23.7769773020407i</v>
      </c>
      <c r="AX485" s="32">
        <f t="shared" si="446"/>
        <v>23.79799675648685</v>
      </c>
      <c r="AY485" s="32">
        <f t="shared" si="447"/>
        <v>1.5287636074366149</v>
      </c>
      <c r="AZ485" s="32" t="str">
        <f t="shared" si="422"/>
        <v>1+451.762568738774i</v>
      </c>
      <c r="BA485" s="32">
        <f t="shared" si="448"/>
        <v>451.76367551348739</v>
      </c>
      <c r="BB485" s="32">
        <f t="shared" si="449"/>
        <v>1.5685827782719954</v>
      </c>
      <c r="BC485" s="60" t="str">
        <f t="shared" si="450"/>
        <v>-0.00115531141563048+0.0289986134620826i</v>
      </c>
      <c r="BD485" s="51">
        <f t="shared" si="451"/>
        <v>-30.745567490971304</v>
      </c>
      <c r="BE485" s="63">
        <f t="shared" si="452"/>
        <v>92.28147043257772</v>
      </c>
      <c r="BF485" s="60" t="str">
        <f t="shared" si="453"/>
        <v>-0.000311324971000186-0.00272380175913837i</v>
      </c>
      <c r="BG485" s="66">
        <f t="shared" si="454"/>
        <v>-51.240121156411192</v>
      </c>
      <c r="BH485" s="63">
        <f t="shared" si="455"/>
        <v>-96.520494051880945</v>
      </c>
      <c r="BI485" s="60" t="e">
        <f t="shared" si="409"/>
        <v>#NUM!</v>
      </c>
      <c r="BJ485" s="66" t="e">
        <f t="shared" si="456"/>
        <v>#NUM!</v>
      </c>
      <c r="BK485" s="63" t="e">
        <f t="shared" si="410"/>
        <v>#NUM!</v>
      </c>
      <c r="BL485" s="51">
        <f t="shared" si="457"/>
        <v>-51.240121156411192</v>
      </c>
      <c r="BM485" s="63">
        <f t="shared" si="458"/>
        <v>-96.520494051880945</v>
      </c>
    </row>
    <row r="486" spans="14:65" x14ac:dyDescent="0.3">
      <c r="N486" s="11">
        <v>68</v>
      </c>
      <c r="O486" s="52">
        <f t="shared" si="459"/>
        <v>478630.09232263872</v>
      </c>
      <c r="P486" s="50" t="str">
        <f t="shared" si="411"/>
        <v>23.3035714285714</v>
      </c>
      <c r="Q486" s="18" t="str">
        <f t="shared" si="412"/>
        <v>1+1611.06512338693i</v>
      </c>
      <c r="R486" s="18">
        <f t="shared" si="423"/>
        <v>1611.0654337405865</v>
      </c>
      <c r="S486" s="18">
        <f t="shared" si="424"/>
        <v>1.5701756195019028</v>
      </c>
      <c r="T486" s="18" t="str">
        <f t="shared" si="413"/>
        <v>1+3.00732156365561i</v>
      </c>
      <c r="U486" s="18">
        <f t="shared" si="425"/>
        <v>3.1692243510404912</v>
      </c>
      <c r="V486" s="18">
        <f t="shared" si="426"/>
        <v>1.2497763239995476</v>
      </c>
      <c r="W486" s="32" t="str">
        <f t="shared" si="414"/>
        <v>1-7.35123048893594i</v>
      </c>
      <c r="X486" s="18">
        <f t="shared" si="427"/>
        <v>7.4189345395050719</v>
      </c>
      <c r="Y486" s="18">
        <f t="shared" si="428"/>
        <v>-1.4355945547730322</v>
      </c>
      <c r="Z486" s="32" t="str">
        <f t="shared" si="415"/>
        <v>0.08365293889289+3.60795886295673i</v>
      </c>
      <c r="AA486" s="18">
        <f t="shared" si="429"/>
        <v>3.6089285073236677</v>
      </c>
      <c r="AB486" s="18">
        <f t="shared" si="430"/>
        <v>1.5476148114321155</v>
      </c>
      <c r="AC486" s="68" t="str">
        <f t="shared" si="431"/>
        <v>-0.0930037582410834+0.0152013385821003i</v>
      </c>
      <c r="AD486" s="66">
        <f t="shared" si="432"/>
        <v>-20.515489010422723</v>
      </c>
      <c r="AE486" s="63">
        <f t="shared" si="433"/>
        <v>170.71716652129791</v>
      </c>
      <c r="AF486" s="51" t="e">
        <f t="shared" si="434"/>
        <v>#NUM!</v>
      </c>
      <c r="AG486" s="51" t="str">
        <f t="shared" si="416"/>
        <v>1-2255.49117274171i</v>
      </c>
      <c r="AH486" s="51">
        <f t="shared" si="435"/>
        <v>2255.4913944229038</v>
      </c>
      <c r="AI486" s="51">
        <f t="shared" si="436"/>
        <v>-1.5703529644148697</v>
      </c>
      <c r="AJ486" s="51" t="str">
        <f t="shared" si="417"/>
        <v>1+3.00732156365561i</v>
      </c>
      <c r="AK486" s="51">
        <f t="shared" si="437"/>
        <v>3.1692243510404912</v>
      </c>
      <c r="AL486" s="51">
        <f t="shared" si="438"/>
        <v>1.2497763239995476</v>
      </c>
      <c r="AM486" s="51" t="e">
        <f t="shared" si="418"/>
        <v>#NUM!</v>
      </c>
      <c r="AN486" s="51" t="e">
        <f t="shared" si="439"/>
        <v>#NUM!</v>
      </c>
      <c r="AO486" s="51" t="e">
        <f t="shared" si="440"/>
        <v>#NUM!</v>
      </c>
      <c r="AP486" s="60" t="e">
        <f t="shared" si="441"/>
        <v>#NUM!</v>
      </c>
      <c r="AQ486" s="51" t="e">
        <f t="shared" si="442"/>
        <v>#NUM!</v>
      </c>
      <c r="AR486" s="63" t="e">
        <f t="shared" si="443"/>
        <v>#NUM!</v>
      </c>
      <c r="AS486" s="32" t="str">
        <f t="shared" si="419"/>
        <v>-0.000170731707317073</v>
      </c>
      <c r="AT486" s="32" t="str">
        <f t="shared" si="420"/>
        <v>0.114278219418913i</v>
      </c>
      <c r="AU486" s="32">
        <f t="shared" si="444"/>
        <v>0.114278219418913</v>
      </c>
      <c r="AV486" s="32">
        <f t="shared" si="445"/>
        <v>1.5707963267948966</v>
      </c>
      <c r="AW486" s="32" t="str">
        <f t="shared" si="421"/>
        <v>1+24.3308142507968i</v>
      </c>
      <c r="AX486" s="32">
        <f t="shared" si="446"/>
        <v>24.351355652340519</v>
      </c>
      <c r="AY486" s="32">
        <f t="shared" si="447"/>
        <v>1.5297193005299985</v>
      </c>
      <c r="AZ486" s="32" t="str">
        <f t="shared" si="422"/>
        <v>1+462.285470765141i</v>
      </c>
      <c r="BA486" s="32">
        <f t="shared" si="448"/>
        <v>462.28655234664569</v>
      </c>
      <c r="BB486" s="32">
        <f t="shared" si="449"/>
        <v>1.568633164628914</v>
      </c>
      <c r="BC486" s="60" t="str">
        <f t="shared" si="450"/>
        <v>-0.00110340152380125+0.0283406579353521i</v>
      </c>
      <c r="BD486" s="51">
        <f t="shared" si="451"/>
        <v>-30.945223301132017</v>
      </c>
      <c r="BE486" s="63">
        <f t="shared" si="452"/>
        <v>92.229600177413516</v>
      </c>
      <c r="BF486" s="60" t="str">
        <f t="shared" si="453"/>
        <v>-0.00032819544835232-0.00265256087916804i</v>
      </c>
      <c r="BG486" s="66">
        <f t="shared" si="454"/>
        <v>-51.46071231155473</v>
      </c>
      <c r="BH486" s="63">
        <f t="shared" si="455"/>
        <v>-97.053233301288557</v>
      </c>
      <c r="BI486" s="60" t="e">
        <f t="shared" si="409"/>
        <v>#NUM!</v>
      </c>
      <c r="BJ486" s="66" t="e">
        <f t="shared" si="456"/>
        <v>#NUM!</v>
      </c>
      <c r="BK486" s="63" t="e">
        <f t="shared" si="410"/>
        <v>#NUM!</v>
      </c>
      <c r="BL486" s="51">
        <f t="shared" si="457"/>
        <v>-51.46071231155473</v>
      </c>
      <c r="BM486" s="63">
        <f t="shared" si="458"/>
        <v>-97.053233301288557</v>
      </c>
    </row>
    <row r="487" spans="14:65" x14ac:dyDescent="0.3">
      <c r="N487" s="11">
        <v>69</v>
      </c>
      <c r="O487" s="52">
        <f t="shared" si="459"/>
        <v>489778.81936844654</v>
      </c>
      <c r="P487" s="50" t="str">
        <f t="shared" si="411"/>
        <v>23.3035714285714</v>
      </c>
      <c r="Q487" s="18" t="str">
        <f t="shared" si="412"/>
        <v>1+1648.59165086978i</v>
      </c>
      <c r="R487" s="18">
        <f t="shared" si="423"/>
        <v>1648.5919541589262</v>
      </c>
      <c r="S487" s="18">
        <f t="shared" si="424"/>
        <v>1.5701897485213583</v>
      </c>
      <c r="T487" s="18" t="str">
        <f t="shared" si="413"/>
        <v>1+3.07737108162359i</v>
      </c>
      <c r="U487" s="18">
        <f t="shared" si="425"/>
        <v>3.2357708160518945</v>
      </c>
      <c r="V487" s="18">
        <f t="shared" si="426"/>
        <v>1.2566072218456144</v>
      </c>
      <c r="W487" s="32" t="str">
        <f t="shared" si="414"/>
        <v>1-7.52246264396878i</v>
      </c>
      <c r="X487" s="18">
        <f t="shared" si="427"/>
        <v>7.588639155336466</v>
      </c>
      <c r="Y487" s="18">
        <f t="shared" si="428"/>
        <v>-1.4386360038580235</v>
      </c>
      <c r="Z487" s="32" t="str">
        <f t="shared" si="415"/>
        <v>0.0404668323921999+3.69199902090086i</v>
      </c>
      <c r="AA487" s="18">
        <f t="shared" si="429"/>
        <v>3.6922207863096119</v>
      </c>
      <c r="AB487" s="18">
        <f t="shared" si="430"/>
        <v>1.5598360822866244</v>
      </c>
      <c r="AC487" s="68" t="str">
        <f t="shared" si="431"/>
        <v>-0.0926451732256925+0.0159472389127845i</v>
      </c>
      <c r="AD487" s="66">
        <f t="shared" si="432"/>
        <v>-20.536733963783153</v>
      </c>
      <c r="AE487" s="63">
        <f t="shared" si="433"/>
        <v>170.23324916855563</v>
      </c>
      <c r="AF487" s="51" t="e">
        <f t="shared" si="434"/>
        <v>#NUM!</v>
      </c>
      <c r="AG487" s="51" t="str">
        <f t="shared" si="416"/>
        <v>1-2308.0283112177i</v>
      </c>
      <c r="AH487" s="51">
        <f t="shared" si="435"/>
        <v>2308.0285278528136</v>
      </c>
      <c r="AI487" s="51">
        <f t="shared" si="436"/>
        <v>-1.570363056573485</v>
      </c>
      <c r="AJ487" s="51" t="str">
        <f t="shared" si="417"/>
        <v>1+3.07737108162359i</v>
      </c>
      <c r="AK487" s="51">
        <f t="shared" si="437"/>
        <v>3.2357708160518945</v>
      </c>
      <c r="AL487" s="51">
        <f t="shared" si="438"/>
        <v>1.2566072218456144</v>
      </c>
      <c r="AM487" s="51" t="e">
        <f t="shared" si="418"/>
        <v>#NUM!</v>
      </c>
      <c r="AN487" s="51" t="e">
        <f t="shared" si="439"/>
        <v>#NUM!</v>
      </c>
      <c r="AO487" s="51" t="e">
        <f t="shared" si="440"/>
        <v>#NUM!</v>
      </c>
      <c r="AP487" s="60" t="e">
        <f t="shared" si="441"/>
        <v>#NUM!</v>
      </c>
      <c r="AQ487" s="51" t="e">
        <f t="shared" si="442"/>
        <v>#NUM!</v>
      </c>
      <c r="AR487" s="63" t="e">
        <f t="shared" si="443"/>
        <v>#NUM!</v>
      </c>
      <c r="AS487" s="32" t="str">
        <f t="shared" si="419"/>
        <v>-0.000170731707317073</v>
      </c>
      <c r="AT487" s="32" t="str">
        <f t="shared" si="420"/>
        <v>0.116940101101696i</v>
      </c>
      <c r="AU487" s="32">
        <f t="shared" si="444"/>
        <v>0.116940101101696</v>
      </c>
      <c r="AV487" s="32">
        <f t="shared" si="445"/>
        <v>1.5707963267948966</v>
      </c>
      <c r="AW487" s="32" t="str">
        <f t="shared" si="421"/>
        <v>1+24.8975517193251i</v>
      </c>
      <c r="AX487" s="32">
        <f t="shared" si="446"/>
        <v>24.917625922556674</v>
      </c>
      <c r="AY487" s="32">
        <f t="shared" si="447"/>
        <v>1.5306533119446415</v>
      </c>
      <c r="AZ487" s="32" t="str">
        <f t="shared" si="422"/>
        <v>1+473.053482667178i</v>
      </c>
      <c r="BA487" s="32">
        <f t="shared" si="448"/>
        <v>473.05453962893762</v>
      </c>
      <c r="BB487" s="32">
        <f t="shared" si="449"/>
        <v>1.5686824040629364</v>
      </c>
      <c r="BC487" s="60" t="str">
        <f t="shared" si="450"/>
        <v>-0.00105382025885535+0.027697537212067i</v>
      </c>
      <c r="BD487" s="51">
        <f t="shared" si="451"/>
        <v>-31.144894576779642</v>
      </c>
      <c r="BE487" s="63">
        <f t="shared" si="452"/>
        <v>92.178906477092525</v>
      </c>
      <c r="BF487" s="60" t="str">
        <f t="shared" si="453"/>
        <v>-0.000344067882786174-0.00258284865637611i</v>
      </c>
      <c r="BG487" s="66">
        <f t="shared" si="454"/>
        <v>-51.681628540562798</v>
      </c>
      <c r="BH487" s="63">
        <f t="shared" si="455"/>
        <v>-97.587844354351873</v>
      </c>
      <c r="BI487" s="60" t="e">
        <f t="shared" si="409"/>
        <v>#NUM!</v>
      </c>
      <c r="BJ487" s="66" t="e">
        <f t="shared" si="456"/>
        <v>#NUM!</v>
      </c>
      <c r="BK487" s="63" t="e">
        <f t="shared" si="410"/>
        <v>#NUM!</v>
      </c>
      <c r="BL487" s="51">
        <f t="shared" si="457"/>
        <v>-51.681628540562798</v>
      </c>
      <c r="BM487" s="63">
        <f t="shared" si="458"/>
        <v>-97.587844354351873</v>
      </c>
    </row>
    <row r="488" spans="14:65" x14ac:dyDescent="0.3">
      <c r="N488" s="11">
        <v>70</v>
      </c>
      <c r="O488" s="52">
        <f t="shared" si="459"/>
        <v>501187.23362727347</v>
      </c>
      <c r="P488" s="50" t="str">
        <f t="shared" si="411"/>
        <v>23.3035714285714</v>
      </c>
      <c r="Q488" s="18" t="str">
        <f t="shared" si="412"/>
        <v>1+1686.99228346761i</v>
      </c>
      <c r="R488" s="18">
        <f t="shared" si="423"/>
        <v>1686.9925798530533</v>
      </c>
      <c r="S488" s="18">
        <f t="shared" si="424"/>
        <v>1.5702035559252998</v>
      </c>
      <c r="T488" s="18" t="str">
        <f t="shared" si="413"/>
        <v>1+3.14905226247287i</v>
      </c>
      <c r="U488" s="18">
        <f t="shared" si="425"/>
        <v>3.3040172747407812</v>
      </c>
      <c r="V488" s="18">
        <f t="shared" si="426"/>
        <v>1.263312060663673</v>
      </c>
      <c r="W488" s="32" t="str">
        <f t="shared" si="414"/>
        <v>1-7.69768330826702i</v>
      </c>
      <c r="X488" s="18">
        <f t="shared" si="427"/>
        <v>7.7623661543612261</v>
      </c>
      <c r="Y488" s="18">
        <f t="shared" si="428"/>
        <v>-1.441610599489991</v>
      </c>
      <c r="Z488" s="32" t="str">
        <f t="shared" si="415"/>
        <v>-0.00475457260384005+3.77799672559526i</v>
      </c>
      <c r="AA488" s="18">
        <f t="shared" si="429"/>
        <v>3.7779997173860602</v>
      </c>
      <c r="AB488" s="18">
        <f t="shared" si="430"/>
        <v>1.5720548165287644</v>
      </c>
      <c r="AC488" s="68" t="str">
        <f t="shared" si="431"/>
        <v>-0.0922765913354084+0.0166928069092085i</v>
      </c>
      <c r="AD488" s="66">
        <f t="shared" si="432"/>
        <v>-20.558323494483627</v>
      </c>
      <c r="AE488" s="63">
        <f t="shared" si="433"/>
        <v>169.74610335063758</v>
      </c>
      <c r="AF488" s="51" t="e">
        <f t="shared" si="434"/>
        <v>#NUM!</v>
      </c>
      <c r="AG488" s="51" t="str">
        <f t="shared" si="416"/>
        <v>1-2361.78919685466i</v>
      </c>
      <c r="AH488" s="51">
        <f t="shared" si="435"/>
        <v>2361.7894085585572</v>
      </c>
      <c r="AI488" s="51">
        <f t="shared" si="436"/>
        <v>-1.5703729190066089</v>
      </c>
      <c r="AJ488" s="51" t="str">
        <f t="shared" si="417"/>
        <v>1+3.14905226247287i</v>
      </c>
      <c r="AK488" s="51">
        <f t="shared" si="437"/>
        <v>3.3040172747407812</v>
      </c>
      <c r="AL488" s="51">
        <f t="shared" si="438"/>
        <v>1.263312060663673</v>
      </c>
      <c r="AM488" s="51" t="e">
        <f t="shared" si="418"/>
        <v>#NUM!</v>
      </c>
      <c r="AN488" s="51" t="e">
        <f t="shared" si="439"/>
        <v>#NUM!</v>
      </c>
      <c r="AO488" s="51" t="e">
        <f t="shared" si="440"/>
        <v>#NUM!</v>
      </c>
      <c r="AP488" s="60" t="e">
        <f t="shared" si="441"/>
        <v>#NUM!</v>
      </c>
      <c r="AQ488" s="51" t="e">
        <f t="shared" si="442"/>
        <v>#NUM!</v>
      </c>
      <c r="AR488" s="63" t="e">
        <f t="shared" si="443"/>
        <v>#NUM!</v>
      </c>
      <c r="AS488" s="32" t="str">
        <f t="shared" si="419"/>
        <v>-0.000170731707317073</v>
      </c>
      <c r="AT488" s="32" t="str">
        <f t="shared" si="420"/>
        <v>0.119663985973969i</v>
      </c>
      <c r="AU488" s="32">
        <f t="shared" si="444"/>
        <v>0.119663985973969</v>
      </c>
      <c r="AV488" s="32">
        <f t="shared" si="445"/>
        <v>1.5707963267948966</v>
      </c>
      <c r="AW488" s="32" t="str">
        <f t="shared" si="421"/>
        <v>1+25.4774901993331i</v>
      </c>
      <c r="AX488" s="32">
        <f t="shared" si="446"/>
        <v>25.497107813575919</v>
      </c>
      <c r="AY488" s="32">
        <f t="shared" si="447"/>
        <v>1.5315661303835593</v>
      </c>
      <c r="AZ488" s="32" t="str">
        <f t="shared" si="422"/>
        <v>1+484.07231378733i</v>
      </c>
      <c r="BA488" s="32">
        <f t="shared" si="448"/>
        <v>484.07334668975454</v>
      </c>
      <c r="BB488" s="32">
        <f t="shared" si="449"/>
        <v>1.5687305226805068</v>
      </c>
      <c r="BC488" s="60" t="str">
        <f t="shared" si="450"/>
        <v>-0.00100646349150761+0.0270689230613763i</v>
      </c>
      <c r="BD488" s="51">
        <f t="shared" si="451"/>
        <v>-31.344580624102282</v>
      </c>
      <c r="BE488" s="63">
        <f t="shared" si="452"/>
        <v>92.129362826783577</v>
      </c>
      <c r="BF488" s="60" t="str">
        <f t="shared" si="453"/>
        <v>-0.00035898328560392-0.00251462865194914i</v>
      </c>
      <c r="BG488" s="66">
        <f t="shared" si="454"/>
        <v>-51.902904118585894</v>
      </c>
      <c r="BH488" s="63">
        <f t="shared" si="455"/>
        <v>-98.124533822578812</v>
      </c>
      <c r="BI488" s="60" t="e">
        <f t="shared" si="409"/>
        <v>#NUM!</v>
      </c>
      <c r="BJ488" s="66" t="e">
        <f t="shared" si="456"/>
        <v>#NUM!</v>
      </c>
      <c r="BK488" s="63" t="e">
        <f t="shared" si="410"/>
        <v>#NUM!</v>
      </c>
      <c r="BL488" s="51">
        <f t="shared" si="457"/>
        <v>-51.902904118585894</v>
      </c>
      <c r="BM488" s="63">
        <f t="shared" si="458"/>
        <v>-98.124533822578812</v>
      </c>
    </row>
    <row r="489" spans="14:65" x14ac:dyDescent="0.3">
      <c r="N489" s="11">
        <v>71</v>
      </c>
      <c r="O489" s="52">
        <f t="shared" si="459"/>
        <v>512861.38399136515</v>
      </c>
      <c r="P489" s="50" t="str">
        <f t="shared" si="411"/>
        <v>23.3035714285714</v>
      </c>
      <c r="Q489" s="18" t="str">
        <f t="shared" si="412"/>
        <v>1+1726.2873817041i</v>
      </c>
      <c r="R489" s="18">
        <f t="shared" si="423"/>
        <v>1726.2876713429882</v>
      </c>
      <c r="S489" s="18">
        <f t="shared" si="424"/>
        <v>1.5702170490345746</v>
      </c>
      <c r="T489" s="18" t="str">
        <f t="shared" si="413"/>
        <v>1+3.22240311251433i</v>
      </c>
      <c r="U489" s="18">
        <f t="shared" si="425"/>
        <v>3.3740008624097957</v>
      </c>
      <c r="V489" s="18">
        <f t="shared" si="426"/>
        <v>1.2698919832841622</v>
      </c>
      <c r="W489" s="32" t="str">
        <f t="shared" si="414"/>
        <v>1-7.87698538614614i</v>
      </c>
      <c r="X489" s="18">
        <f t="shared" si="427"/>
        <v>7.9402077286151567</v>
      </c>
      <c r="Y489" s="18">
        <f t="shared" si="428"/>
        <v>-1.4445197081682755</v>
      </c>
      <c r="Z489" s="32" t="str">
        <f t="shared" si="415"/>
        <v>-0.0521071967581499+3.86599757416125i</v>
      </c>
      <c r="AA489" s="18">
        <f t="shared" si="429"/>
        <v>3.8663487172492164</v>
      </c>
      <c r="AB489" s="18">
        <f t="shared" si="430"/>
        <v>1.5842738421693756</v>
      </c>
      <c r="AC489" s="68" t="str">
        <f t="shared" si="431"/>
        <v>-0.0918975579425658+0.0174380677839502i</v>
      </c>
      <c r="AD489" s="66">
        <f t="shared" si="432"/>
        <v>-20.580293046677014</v>
      </c>
      <c r="AE489" s="63">
        <f t="shared" si="433"/>
        <v>169.25555379972062</v>
      </c>
      <c r="AF489" s="51" t="e">
        <f t="shared" si="434"/>
        <v>#NUM!</v>
      </c>
      <c r="AG489" s="51" t="str">
        <f t="shared" si="416"/>
        <v>1-2416.80233438575i</v>
      </c>
      <c r="AH489" s="51">
        <f t="shared" si="435"/>
        <v>2416.8025412706784</v>
      </c>
      <c r="AI489" s="51">
        <f t="shared" si="436"/>
        <v>-1.5703825569434264</v>
      </c>
      <c r="AJ489" s="51" t="str">
        <f t="shared" si="417"/>
        <v>1+3.22240311251433i</v>
      </c>
      <c r="AK489" s="51">
        <f t="shared" si="437"/>
        <v>3.3740008624097957</v>
      </c>
      <c r="AL489" s="51">
        <f t="shared" si="438"/>
        <v>1.2698919832841622</v>
      </c>
      <c r="AM489" s="51" t="e">
        <f t="shared" si="418"/>
        <v>#NUM!</v>
      </c>
      <c r="AN489" s="51" t="e">
        <f t="shared" si="439"/>
        <v>#NUM!</v>
      </c>
      <c r="AO489" s="51" t="e">
        <f t="shared" si="440"/>
        <v>#NUM!</v>
      </c>
      <c r="AP489" s="60" t="e">
        <f t="shared" si="441"/>
        <v>#NUM!</v>
      </c>
      <c r="AQ489" s="51" t="e">
        <f t="shared" si="442"/>
        <v>#NUM!</v>
      </c>
      <c r="AR489" s="63" t="e">
        <f t="shared" si="443"/>
        <v>#NUM!</v>
      </c>
      <c r="AS489" s="32" t="str">
        <f t="shared" si="419"/>
        <v>-0.000170731707317073</v>
      </c>
      <c r="AT489" s="32" t="str">
        <f t="shared" si="420"/>
        <v>0.122451318275545i</v>
      </c>
      <c r="AU489" s="32">
        <f t="shared" si="444"/>
        <v>0.12245131827554501</v>
      </c>
      <c r="AV489" s="32">
        <f t="shared" si="445"/>
        <v>1.5707963267948966</v>
      </c>
      <c r="AW489" s="32" t="str">
        <f t="shared" si="421"/>
        <v>1+26.0709371818791i</v>
      </c>
      <c r="AX489" s="32">
        <f t="shared" si="446"/>
        <v>26.090108576651918</v>
      </c>
      <c r="AY489" s="32">
        <f t="shared" si="447"/>
        <v>1.5324582337469437</v>
      </c>
      <c r="AZ489" s="32" t="str">
        <f t="shared" si="422"/>
        <v>1+495.347806455703i</v>
      </c>
      <c r="BA489" s="32">
        <f t="shared" si="448"/>
        <v>495.34881584644631</v>
      </c>
      <c r="BB489" s="32">
        <f t="shared" si="449"/>
        <v>1.5687775459938615</v>
      </c>
      <c r="BC489" s="60" t="str">
        <f t="shared" si="450"/>
        <v>-0.000961231719771618+0.026454494096738i</v>
      </c>
      <c r="BD489" s="51">
        <f t="shared" si="451"/>
        <v>-31.544280780317152</v>
      </c>
      <c r="BE489" s="63">
        <f t="shared" si="452"/>
        <v>92.080943306566184</v>
      </c>
      <c r="BF489" s="60" t="str">
        <f t="shared" si="453"/>
        <v>-0.000372980413585083-0.00244786542798171i</v>
      </c>
      <c r="BG489" s="66">
        <f t="shared" si="454"/>
        <v>-52.124573826994151</v>
      </c>
      <c r="BH489" s="63">
        <f t="shared" si="455"/>
        <v>-98.663502893713186</v>
      </c>
      <c r="BI489" s="60" t="e">
        <f t="shared" si="409"/>
        <v>#NUM!</v>
      </c>
      <c r="BJ489" s="66" t="e">
        <f t="shared" si="456"/>
        <v>#NUM!</v>
      </c>
      <c r="BK489" s="63" t="e">
        <f t="shared" si="410"/>
        <v>#NUM!</v>
      </c>
      <c r="BL489" s="51">
        <f t="shared" si="457"/>
        <v>-52.124573826994151</v>
      </c>
      <c r="BM489" s="63">
        <f t="shared" si="458"/>
        <v>-98.663502893713186</v>
      </c>
    </row>
    <row r="490" spans="14:65" x14ac:dyDescent="0.3">
      <c r="N490" s="11">
        <v>72</v>
      </c>
      <c r="O490" s="52">
        <f t="shared" si="459"/>
        <v>524807.46024977288</v>
      </c>
      <c r="P490" s="50" t="str">
        <f t="shared" si="411"/>
        <v>23.3035714285714</v>
      </c>
      <c r="Q490" s="18" t="str">
        <f t="shared" si="412"/>
        <v>1+1766.4977803605i</v>
      </c>
      <c r="R490" s="18">
        <f t="shared" si="423"/>
        <v>1766.4980634064032</v>
      </c>
      <c r="S490" s="18">
        <f t="shared" si="424"/>
        <v>1.5702302350033881</v>
      </c>
      <c r="T490" s="18" t="str">
        <f t="shared" si="413"/>
        <v>1+3.29746252333961i</v>
      </c>
      <c r="U490" s="18">
        <f t="shared" si="425"/>
        <v>3.4457595814028044</v>
      </c>
      <c r="V490" s="18">
        <f t="shared" si="426"/>
        <v>1.2763481986114515</v>
      </c>
      <c r="W490" s="32" t="str">
        <f t="shared" si="414"/>
        <v>1-8.06046394594127i</v>
      </c>
      <c r="X490" s="18">
        <f t="shared" si="427"/>
        <v>8.1222582465604436</v>
      </c>
      <c r="Y490" s="18">
        <f t="shared" si="428"/>
        <v>-1.4473646752797198</v>
      </c>
      <c r="Z490" s="32" t="str">
        <f t="shared" si="415"/>
        <v>-0.10169148133527+3.95604822581361i</v>
      </c>
      <c r="AA490" s="18">
        <f t="shared" si="429"/>
        <v>3.9573550159594193</v>
      </c>
      <c r="AB490" s="18">
        <f t="shared" si="430"/>
        <v>1.5964959862540118</v>
      </c>
      <c r="AC490" s="68" t="str">
        <f t="shared" si="431"/>
        <v>-0.0915076150632681+0.0181830193506255i</v>
      </c>
      <c r="AD490" s="66">
        <f t="shared" si="432"/>
        <v>-20.602678551379615</v>
      </c>
      <c r="AE490" s="63">
        <f t="shared" si="433"/>
        <v>168.7614303082504</v>
      </c>
      <c r="AF490" s="51" t="e">
        <f t="shared" si="434"/>
        <v>#NUM!</v>
      </c>
      <c r="AG490" s="51" t="str">
        <f t="shared" si="416"/>
        <v>1-2473.09689250471i</v>
      </c>
      <c r="AH490" s="51">
        <f t="shared" si="435"/>
        <v>2473.0970946803632</v>
      </c>
      <c r="AI490" s="51">
        <f t="shared" si="436"/>
        <v>-1.570391975494092</v>
      </c>
      <c r="AJ490" s="51" t="str">
        <f t="shared" si="417"/>
        <v>1+3.29746252333961i</v>
      </c>
      <c r="AK490" s="51">
        <f t="shared" si="437"/>
        <v>3.4457595814028044</v>
      </c>
      <c r="AL490" s="51">
        <f t="shared" si="438"/>
        <v>1.2763481986114515</v>
      </c>
      <c r="AM490" s="51" t="e">
        <f t="shared" si="418"/>
        <v>#NUM!</v>
      </c>
      <c r="AN490" s="51" t="e">
        <f t="shared" si="439"/>
        <v>#NUM!</v>
      </c>
      <c r="AO490" s="51" t="e">
        <f t="shared" si="440"/>
        <v>#NUM!</v>
      </c>
      <c r="AP490" s="60" t="e">
        <f t="shared" si="441"/>
        <v>#NUM!</v>
      </c>
      <c r="AQ490" s="51" t="e">
        <f t="shared" si="442"/>
        <v>#NUM!</v>
      </c>
      <c r="AR490" s="63" t="e">
        <f t="shared" si="443"/>
        <v>#NUM!</v>
      </c>
      <c r="AS490" s="32" t="str">
        <f t="shared" si="419"/>
        <v>-0.000170731707317073</v>
      </c>
      <c r="AT490" s="32" t="str">
        <f t="shared" si="420"/>
        <v>0.125303575886905i</v>
      </c>
      <c r="AU490" s="32">
        <f t="shared" si="444"/>
        <v>0.12530357588690499</v>
      </c>
      <c r="AV490" s="32">
        <f t="shared" si="445"/>
        <v>1.5707963267948966</v>
      </c>
      <c r="AW490" s="32" t="str">
        <f t="shared" si="421"/>
        <v>1+26.6782073204086i</v>
      </c>
      <c r="AX490" s="32">
        <f t="shared" si="446"/>
        <v>26.696942630771467</v>
      </c>
      <c r="AY490" s="32">
        <f t="shared" si="447"/>
        <v>1.5333300893567341</v>
      </c>
      <c r="AZ490" s="32" t="str">
        <f t="shared" si="422"/>
        <v>1+506.885939087765i</v>
      </c>
      <c r="BA490" s="32">
        <f t="shared" si="448"/>
        <v>506.88692550201512</v>
      </c>
      <c r="BB490" s="32">
        <f t="shared" si="449"/>
        <v>1.5688234989345511</v>
      </c>
      <c r="BC490" s="60" t="str">
        <f t="shared" si="450"/>
        <v>-0.000918029865887321+0.0258539356615876i</v>
      </c>
      <c r="BD490" s="51">
        <f t="shared" si="451"/>
        <v>-31.743994412291361</v>
      </c>
      <c r="BE490" s="63">
        <f t="shared" si="452"/>
        <v>92.033622569338121</v>
      </c>
      <c r="BF490" s="60" t="str">
        <f t="shared" si="453"/>
        <v>-0.000386095888840273-0.00238252454720694i</v>
      </c>
      <c r="BG490" s="66">
        <f t="shared" si="454"/>
        <v>-52.346672963670969</v>
      </c>
      <c r="BH490" s="63">
        <f t="shared" si="455"/>
        <v>-99.204947122411454</v>
      </c>
      <c r="BI490" s="60" t="e">
        <f t="shared" si="409"/>
        <v>#NUM!</v>
      </c>
      <c r="BJ490" s="66" t="e">
        <f t="shared" si="456"/>
        <v>#NUM!</v>
      </c>
      <c r="BK490" s="63" t="e">
        <f t="shared" si="410"/>
        <v>#NUM!</v>
      </c>
      <c r="BL490" s="51">
        <f t="shared" si="457"/>
        <v>-52.346672963670969</v>
      </c>
      <c r="BM490" s="63">
        <f t="shared" si="458"/>
        <v>-99.204947122411454</v>
      </c>
    </row>
    <row r="491" spans="14:65" x14ac:dyDescent="0.3">
      <c r="N491" s="11">
        <v>73</v>
      </c>
      <c r="O491" s="52">
        <f t="shared" si="459"/>
        <v>537031.7963702539</v>
      </c>
      <c r="P491" s="50" t="str">
        <f t="shared" si="411"/>
        <v>23.3035714285714</v>
      </c>
      <c r="Q491" s="18" t="str">
        <f t="shared" si="412"/>
        <v>1+1807.64479952241i</v>
      </c>
      <c r="R491" s="18">
        <f t="shared" si="423"/>
        <v>1807.6450761254027</v>
      </c>
      <c r="S491" s="18">
        <f t="shared" si="424"/>
        <v>1.5702431208230974</v>
      </c>
      <c r="T491" s="18" t="str">
        <f t="shared" si="413"/>
        <v>1+3.37427029244184i</v>
      </c>
      <c r="U491" s="18">
        <f t="shared" si="425"/>
        <v>3.5193323239579897</v>
      </c>
      <c r="V491" s="18">
        <f t="shared" si="426"/>
        <v>1.2826819761277894</v>
      </c>
      <c r="W491" s="32" t="str">
        <f t="shared" si="414"/>
        <v>1-8.24821627041339i</v>
      </c>
      <c r="X491" s="18">
        <f t="shared" si="427"/>
        <v>8.3086143034510993</v>
      </c>
      <c r="Y491" s="18">
        <f t="shared" si="428"/>
        <v>-1.4501468249515534</v>
      </c>
      <c r="Z491" s="32" t="str">
        <f t="shared" si="415"/>
        <v>-0.15361260125065+4.04819642659979i</v>
      </c>
      <c r="AA491" s="18">
        <f t="shared" si="429"/>
        <v>4.0511098651602007</v>
      </c>
      <c r="AB491" s="18">
        <f t="shared" si="430"/>
        <v>1.6087240654911785</v>
      </c>
      <c r="AC491" s="68" t="str">
        <f t="shared" si="431"/>
        <v>-0.0911063022691229+0.0189276313529381i</v>
      </c>
      <c r="AD491" s="66">
        <f t="shared" si="432"/>
        <v>-20.625516437052184</v>
      </c>
      <c r="AE491" s="63">
        <f t="shared" si="433"/>
        <v>168.26356795921555</v>
      </c>
      <c r="AF491" s="51" t="e">
        <f t="shared" si="434"/>
        <v>#NUM!</v>
      </c>
      <c r="AG491" s="51" t="str">
        <f t="shared" si="416"/>
        <v>1-2530.70271933139i</v>
      </c>
      <c r="AH491" s="51">
        <f t="shared" si="435"/>
        <v>2530.7029169049638</v>
      </c>
      <c r="AI491" s="51">
        <f t="shared" si="436"/>
        <v>-1.5704011796524393</v>
      </c>
      <c r="AJ491" s="51" t="str">
        <f t="shared" si="417"/>
        <v>1+3.37427029244184i</v>
      </c>
      <c r="AK491" s="51">
        <f t="shared" si="437"/>
        <v>3.5193323239579897</v>
      </c>
      <c r="AL491" s="51">
        <f t="shared" si="438"/>
        <v>1.2826819761277894</v>
      </c>
      <c r="AM491" s="51" t="e">
        <f t="shared" si="418"/>
        <v>#NUM!</v>
      </c>
      <c r="AN491" s="51" t="e">
        <f t="shared" si="439"/>
        <v>#NUM!</v>
      </c>
      <c r="AO491" s="51" t="e">
        <f t="shared" si="440"/>
        <v>#NUM!</v>
      </c>
      <c r="AP491" s="60" t="e">
        <f t="shared" si="441"/>
        <v>#NUM!</v>
      </c>
      <c r="AQ491" s="51" t="e">
        <f t="shared" si="442"/>
        <v>#NUM!</v>
      </c>
      <c r="AR491" s="63" t="e">
        <f t="shared" si="443"/>
        <v>#NUM!</v>
      </c>
      <c r="AS491" s="32" t="str">
        <f t="shared" si="419"/>
        <v>-0.000170731707317073</v>
      </c>
      <c r="AT491" s="32" t="str">
        <f t="shared" si="420"/>
        <v>0.12822227111279i</v>
      </c>
      <c r="AU491" s="32">
        <f t="shared" si="444"/>
        <v>0.12822227111279</v>
      </c>
      <c r="AV491" s="32">
        <f t="shared" si="445"/>
        <v>1.5707963267948966</v>
      </c>
      <c r="AW491" s="32" t="str">
        <f t="shared" si="421"/>
        <v>1+27.2996225975873i</v>
      </c>
      <c r="AX491" s="32">
        <f t="shared" si="446"/>
        <v>27.317931729373274</v>
      </c>
      <c r="AY491" s="32">
        <f t="shared" si="447"/>
        <v>1.5341821541774847</v>
      </c>
      <c r="AZ491" s="32" t="str">
        <f t="shared" si="422"/>
        <v>1+518.69282935416i</v>
      </c>
      <c r="BA491" s="32">
        <f t="shared" si="448"/>
        <v>518.6937933149228</v>
      </c>
      <c r="BB491" s="32">
        <f t="shared" si="449"/>
        <v>1.5688684058666564</v>
      </c>
      <c r="BC491" s="60" t="str">
        <f t="shared" si="450"/>
        <v>-0.000876767081935231+0.0252669397148826i</v>
      </c>
      <c r="BD491" s="51">
        <f t="shared" si="451"/>
        <v>-31.943720915223789</v>
      </c>
      <c r="BE491" s="63">
        <f t="shared" si="452"/>
        <v>91.987375828918061</v>
      </c>
      <c r="BF491" s="60" t="str">
        <f t="shared" si="453"/>
        <v>-0.000398364313553801-0.00231857257118906i</v>
      </c>
      <c r="BG491" s="66">
        <f t="shared" si="454"/>
        <v>-52.569237352275977</v>
      </c>
      <c r="BH491" s="63">
        <f t="shared" si="455"/>
        <v>-99.749056211866389</v>
      </c>
      <c r="BI491" s="60" t="e">
        <f t="shared" si="409"/>
        <v>#NUM!</v>
      </c>
      <c r="BJ491" s="66" t="e">
        <f t="shared" si="456"/>
        <v>#NUM!</v>
      </c>
      <c r="BK491" s="63" t="e">
        <f t="shared" si="410"/>
        <v>#NUM!</v>
      </c>
      <c r="BL491" s="51">
        <f t="shared" si="457"/>
        <v>-52.569237352275977</v>
      </c>
      <c r="BM491" s="63">
        <f t="shared" si="458"/>
        <v>-99.749056211866389</v>
      </c>
    </row>
    <row r="492" spans="14:65" x14ac:dyDescent="0.3">
      <c r="N492" s="11">
        <v>74</v>
      </c>
      <c r="O492" s="52">
        <f t="shared" si="459"/>
        <v>549540.87385762564</v>
      </c>
      <c r="P492" s="50" t="str">
        <f t="shared" si="411"/>
        <v>23.3035714285714</v>
      </c>
      <c r="Q492" s="18" t="str">
        <f t="shared" si="412"/>
        <v>1+1849.75025588403i</v>
      </c>
      <c r="R492" s="18">
        <f t="shared" si="423"/>
        <v>1849.7505261907709</v>
      </c>
      <c r="S492" s="18">
        <f t="shared" si="424"/>
        <v>1.5702557133259172</v>
      </c>
      <c r="T492" s="18" t="str">
        <f t="shared" si="413"/>
        <v>1+3.45286714431686i</v>
      </c>
      <c r="U492" s="18">
        <f t="shared" si="425"/>
        <v>3.5947588954341385</v>
      </c>
      <c r="V492" s="18">
        <f t="shared" si="426"/>
        <v>1.2888946406021433</v>
      </c>
      <c r="W492" s="32" t="str">
        <f t="shared" si="414"/>
        <v>1-8.4403419083301i</v>
      </c>
      <c r="X492" s="18">
        <f t="shared" si="427"/>
        <v>8.4993747728590829</v>
      </c>
      <c r="Y492" s="18">
        <f t="shared" si="428"/>
        <v>-1.4528674599454079</v>
      </c>
      <c r="Z492" s="32" t="str">
        <f t="shared" si="415"/>
        <v>-0.20798068816081+4.14249103471554i</v>
      </c>
      <c r="AA492" s="18">
        <f t="shared" si="429"/>
        <v>4.147708757777778</v>
      </c>
      <c r="AB492" s="18">
        <f t="shared" si="430"/>
        <v>1.6209608768813071</v>
      </c>
      <c r="AC492" s="68" t="str">
        <f t="shared" si="431"/>
        <v>-0.0906931576711301+0.0196718447983034i</v>
      </c>
      <c r="AD492" s="66">
        <f t="shared" si="432"/>
        <v>-20.648843638892778</v>
      </c>
      <c r="AE492" s="63">
        <f t="shared" si="433"/>
        <v>167.76180736576629</v>
      </c>
      <c r="AF492" s="51" t="e">
        <f t="shared" si="434"/>
        <v>#NUM!</v>
      </c>
      <c r="AG492" s="51" t="str">
        <f t="shared" si="416"/>
        <v>1-2589.65035823765i</v>
      </c>
      <c r="AH492" s="51">
        <f t="shared" si="435"/>
        <v>2589.6505513139005</v>
      </c>
      <c r="AI492" s="51">
        <f t="shared" si="436"/>
        <v>-1.5704101742986283</v>
      </c>
      <c r="AJ492" s="51" t="str">
        <f t="shared" si="417"/>
        <v>1+3.45286714431686i</v>
      </c>
      <c r="AK492" s="51">
        <f t="shared" si="437"/>
        <v>3.5947588954341385</v>
      </c>
      <c r="AL492" s="51">
        <f t="shared" si="438"/>
        <v>1.2888946406021433</v>
      </c>
      <c r="AM492" s="51" t="e">
        <f t="shared" si="418"/>
        <v>#NUM!</v>
      </c>
      <c r="AN492" s="51" t="e">
        <f t="shared" si="439"/>
        <v>#NUM!</v>
      </c>
      <c r="AO492" s="51" t="e">
        <f t="shared" si="440"/>
        <v>#NUM!</v>
      </c>
      <c r="AP492" s="60" t="e">
        <f t="shared" si="441"/>
        <v>#NUM!</v>
      </c>
      <c r="AQ492" s="51" t="e">
        <f t="shared" si="442"/>
        <v>#NUM!</v>
      </c>
      <c r="AR492" s="63" t="e">
        <f t="shared" si="443"/>
        <v>#NUM!</v>
      </c>
      <c r="AS492" s="32" t="str">
        <f t="shared" si="419"/>
        <v>-0.000170731707317073</v>
      </c>
      <c r="AT492" s="32" t="str">
        <f t="shared" si="420"/>
        <v>0.131208951484041i</v>
      </c>
      <c r="AU492" s="32">
        <f t="shared" si="444"/>
        <v>0.13120895148404099</v>
      </c>
      <c r="AV492" s="32">
        <f t="shared" si="445"/>
        <v>1.5707963267948966</v>
      </c>
      <c r="AW492" s="32" t="str">
        <f t="shared" si="421"/>
        <v>1+27.9355124960204i</v>
      </c>
      <c r="AX492" s="32">
        <f t="shared" si="446"/>
        <v>27.95340513095519</v>
      </c>
      <c r="AY492" s="32">
        <f t="shared" si="447"/>
        <v>1.5350148750335262</v>
      </c>
      <c r="AZ492" s="32" t="str">
        <f t="shared" si="422"/>
        <v>1+530.774737424388i</v>
      </c>
      <c r="BA492" s="32">
        <f t="shared" si="448"/>
        <v>530.77567944276439</v>
      </c>
      <c r="BB492" s="32">
        <f t="shared" si="449"/>
        <v>1.5689122905997024</v>
      </c>
      <c r="BC492" s="60" t="str">
        <f t="shared" si="450"/>
        <v>-0.000837356563785612+0.0246932047167098i</v>
      </c>
      <c r="BD492" s="51">
        <f t="shared" si="451"/>
        <v>-32.143459711383251</v>
      </c>
      <c r="BE492" s="63">
        <f t="shared" si="452"/>
        <v>91.942178848342962</v>
      </c>
      <c r="BF492" s="60" t="str">
        <f t="shared" si="453"/>
        <v>-0.000409818379893484-0.00225597705714169i</v>
      </c>
      <c r="BG492" s="66">
        <f t="shared" si="454"/>
        <v>-52.792303350276015</v>
      </c>
      <c r="BH492" s="63">
        <f t="shared" si="455"/>
        <v>-100.29601378589072</v>
      </c>
      <c r="BI492" s="60" t="e">
        <f t="shared" si="409"/>
        <v>#NUM!</v>
      </c>
      <c r="BJ492" s="66" t="e">
        <f t="shared" si="456"/>
        <v>#NUM!</v>
      </c>
      <c r="BK492" s="63" t="e">
        <f t="shared" si="410"/>
        <v>#NUM!</v>
      </c>
      <c r="BL492" s="51">
        <f t="shared" si="457"/>
        <v>-52.792303350276015</v>
      </c>
      <c r="BM492" s="63">
        <f t="shared" si="458"/>
        <v>-100.29601378589072</v>
      </c>
    </row>
    <row r="493" spans="14:65" x14ac:dyDescent="0.3">
      <c r="N493" s="11">
        <v>75</v>
      </c>
      <c r="O493" s="52">
        <f t="shared" si="459"/>
        <v>562341.32519035018</v>
      </c>
      <c r="P493" s="50" t="str">
        <f t="shared" si="411"/>
        <v>23.3035714285714</v>
      </c>
      <c r="Q493" s="18" t="str">
        <f t="shared" si="412"/>
        <v>1+1892.83647431566i</v>
      </c>
      <c r="R493" s="18">
        <f t="shared" si="423"/>
        <v>1892.8367384694695</v>
      </c>
      <c r="S493" s="18">
        <f t="shared" si="424"/>
        <v>1.5702680191885434</v>
      </c>
      <c r="T493" s="18" t="str">
        <f t="shared" si="413"/>
        <v>1+3.53329475205591i</v>
      </c>
      <c r="U493" s="18">
        <f t="shared" si="425"/>
        <v>3.6720800379220817</v>
      </c>
      <c r="V493" s="18">
        <f t="shared" si="426"/>
        <v>1.2949875670082267</v>
      </c>
      <c r="W493" s="32" t="str">
        <f t="shared" si="414"/>
        <v>1-8.63694272724778i</v>
      </c>
      <c r="X493" s="18">
        <f t="shared" si="427"/>
        <v>8.6946408593890929</v>
      </c>
      <c r="Y493" s="18">
        <f t="shared" si="428"/>
        <v>-1.4555278615894232</v>
      </c>
      <c r="Z493" s="32" t="str">
        <f t="shared" si="415"/>
        <v>-0.26491106406736+4.23898204641028i</v>
      </c>
      <c r="AA493" s="18">
        <f t="shared" si="429"/>
        <v>4.2472516597976604</v>
      </c>
      <c r="AB493" s="18">
        <f t="shared" si="430"/>
        <v>1.6332091883473419</v>
      </c>
      <c r="AC493" s="68" t="str">
        <f t="shared" si="431"/>
        <v>-0.0902677189800707+0.0204155713014926i</v>
      </c>
      <c r="AD493" s="66">
        <f t="shared" si="432"/>
        <v>-20.672697606634745</v>
      </c>
      <c r="AE493" s="63">
        <f t="shared" si="433"/>
        <v>167.25599492054971</v>
      </c>
      <c r="AF493" s="51" t="e">
        <f t="shared" si="434"/>
        <v>#NUM!</v>
      </c>
      <c r="AG493" s="51" t="str">
        <f t="shared" si="416"/>
        <v>1-2649.97106404194i</v>
      </c>
      <c r="AH493" s="51">
        <f t="shared" si="435"/>
        <v>2649.9712527232386</v>
      </c>
      <c r="AI493" s="51">
        <f t="shared" si="436"/>
        <v>-1.5704189642017341</v>
      </c>
      <c r="AJ493" s="51" t="str">
        <f t="shared" si="417"/>
        <v>1+3.53329475205591i</v>
      </c>
      <c r="AK493" s="51">
        <f t="shared" si="437"/>
        <v>3.6720800379220817</v>
      </c>
      <c r="AL493" s="51">
        <f t="shared" si="438"/>
        <v>1.2949875670082267</v>
      </c>
      <c r="AM493" s="51" t="e">
        <f t="shared" si="418"/>
        <v>#NUM!</v>
      </c>
      <c r="AN493" s="51" t="e">
        <f t="shared" si="439"/>
        <v>#NUM!</v>
      </c>
      <c r="AO493" s="51" t="e">
        <f t="shared" si="440"/>
        <v>#NUM!</v>
      </c>
      <c r="AP493" s="60" t="e">
        <f t="shared" si="441"/>
        <v>#NUM!</v>
      </c>
      <c r="AQ493" s="51" t="e">
        <f t="shared" si="442"/>
        <v>#NUM!</v>
      </c>
      <c r="AR493" s="63" t="e">
        <f t="shared" si="443"/>
        <v>#NUM!</v>
      </c>
      <c r="AS493" s="32" t="str">
        <f t="shared" si="419"/>
        <v>-0.000170731707317073</v>
      </c>
      <c r="AT493" s="32" t="str">
        <f t="shared" si="420"/>
        <v>0.134265200578124i</v>
      </c>
      <c r="AU493" s="32">
        <f t="shared" si="444"/>
        <v>0.13426520057812399</v>
      </c>
      <c r="AV493" s="32">
        <f t="shared" si="445"/>
        <v>1.5707963267948966</v>
      </c>
      <c r="AW493" s="32" t="str">
        <f t="shared" si="421"/>
        <v>1+28.5862141729491i</v>
      </c>
      <c r="AX493" s="32">
        <f t="shared" si="446"/>
        <v>28.603699773660679</v>
      </c>
      <c r="AY493" s="32">
        <f t="shared" si="447"/>
        <v>1.5358286888224113</v>
      </c>
      <c r="AZ493" s="32" t="str">
        <f t="shared" si="422"/>
        <v>1+543.138069286035i</v>
      </c>
      <c r="BA493" s="32">
        <f t="shared" si="448"/>
        <v>543.13898986149184</v>
      </c>
      <c r="BB493" s="32">
        <f t="shared" si="449"/>
        <v>1.5689551764012788</v>
      </c>
      <c r="BC493" s="60" t="str">
        <f t="shared" si="450"/>
        <v>-0.000799715373043371+0.0241324355141083i</v>
      </c>
      <c r="BD493" s="51">
        <f t="shared" si="451"/>
        <v>-32.343210248904356</v>
      </c>
      <c r="BE493" s="63">
        <f t="shared" si="452"/>
        <v>91.89800792836165</v>
      </c>
      <c r="BF493" s="60" t="str">
        <f t="shared" si="453"/>
        <v>-0.000420488975359029-0.00219470655351147i</v>
      </c>
      <c r="BG493" s="66">
        <f t="shared" si="454"/>
        <v>-53.015907855539112</v>
      </c>
      <c r="BH493" s="63">
        <f t="shared" si="455"/>
        <v>-100.84599715108864</v>
      </c>
      <c r="BI493" s="60" t="e">
        <f t="shared" si="409"/>
        <v>#NUM!</v>
      </c>
      <c r="BJ493" s="66" t="e">
        <f t="shared" si="456"/>
        <v>#NUM!</v>
      </c>
      <c r="BK493" s="63" t="e">
        <f t="shared" si="410"/>
        <v>#NUM!</v>
      </c>
      <c r="BL493" s="51">
        <f t="shared" si="457"/>
        <v>-53.015907855539112</v>
      </c>
      <c r="BM493" s="63">
        <f t="shared" si="458"/>
        <v>-100.84599715108864</v>
      </c>
    </row>
    <row r="494" spans="14:65" x14ac:dyDescent="0.3">
      <c r="N494" s="11">
        <v>76</v>
      </c>
      <c r="O494" s="52">
        <f t="shared" si="459"/>
        <v>575439.93733715697</v>
      </c>
      <c r="P494" s="50" t="str">
        <f t="shared" si="411"/>
        <v>23.3035714285714</v>
      </c>
      <c r="Q494" s="18" t="str">
        <f t="shared" si="412"/>
        <v>1+1936.92629970062i</v>
      </c>
      <c r="R494" s="18">
        <f t="shared" si="423"/>
        <v>1936.9265578415555</v>
      </c>
      <c r="S494" s="18">
        <f t="shared" si="424"/>
        <v>1.5702800449356924</v>
      </c>
      <c r="T494" s="18" t="str">
        <f t="shared" si="413"/>
        <v>1+3.61559575944117i</v>
      </c>
      <c r="U494" s="18">
        <f t="shared" si="425"/>
        <v>3.7513374542540121</v>
      </c>
      <c r="V494" s="18">
        <f t="shared" si="426"/>
        <v>1.3009621756544933</v>
      </c>
      <c r="W494" s="32" t="str">
        <f t="shared" si="414"/>
        <v>1-8.83812296752286i</v>
      </c>
      <c r="X494" s="18">
        <f t="shared" si="427"/>
        <v>8.8945161526108389</v>
      </c>
      <c r="Y494" s="18">
        <f t="shared" si="428"/>
        <v>-1.4581292897455758</v>
      </c>
      <c r="Z494" s="32" t="str">
        <f t="shared" si="415"/>
        <v>-0.32452448593037+4.33772062249556i</v>
      </c>
      <c r="AA494" s="18">
        <f t="shared" si="429"/>
        <v>4.349843254738226</v>
      </c>
      <c r="AB494" s="18">
        <f t="shared" si="430"/>
        <v>1.6454717293684469</v>
      </c>
      <c r="AC494" s="68" t="str">
        <f t="shared" si="431"/>
        <v>-0.0898295246474605+0.0211586924444609i</v>
      </c>
      <c r="AD494" s="66">
        <f t="shared" si="432"/>
        <v>-20.697116310636318</v>
      </c>
      <c r="AE494" s="63">
        <f t="shared" si="433"/>
        <v>166.74598305499669</v>
      </c>
      <c r="AF494" s="51" t="e">
        <f t="shared" si="434"/>
        <v>#NUM!</v>
      </c>
      <c r="AG494" s="51" t="str">
        <f t="shared" si="416"/>
        <v>1-2711.69681958088i</v>
      </c>
      <c r="AH494" s="51">
        <f t="shared" si="435"/>
        <v>2711.6970039672683</v>
      </c>
      <c r="AI494" s="51">
        <f t="shared" si="436"/>
        <v>-1.5704275540222739</v>
      </c>
      <c r="AJ494" s="51" t="str">
        <f t="shared" si="417"/>
        <v>1+3.61559575944117i</v>
      </c>
      <c r="AK494" s="51">
        <f t="shared" si="437"/>
        <v>3.7513374542540121</v>
      </c>
      <c r="AL494" s="51">
        <f t="shared" si="438"/>
        <v>1.3009621756544933</v>
      </c>
      <c r="AM494" s="51" t="e">
        <f t="shared" si="418"/>
        <v>#NUM!</v>
      </c>
      <c r="AN494" s="51" t="e">
        <f t="shared" si="439"/>
        <v>#NUM!</v>
      </c>
      <c r="AO494" s="51" t="e">
        <f t="shared" si="440"/>
        <v>#NUM!</v>
      </c>
      <c r="AP494" s="60" t="e">
        <f t="shared" si="441"/>
        <v>#NUM!</v>
      </c>
      <c r="AQ494" s="51" t="e">
        <f t="shared" si="442"/>
        <v>#NUM!</v>
      </c>
      <c r="AR494" s="63" t="e">
        <f t="shared" si="443"/>
        <v>#NUM!</v>
      </c>
      <c r="AS494" s="32" t="str">
        <f t="shared" si="419"/>
        <v>-0.000170731707317073</v>
      </c>
      <c r="AT494" s="32" t="str">
        <f t="shared" si="420"/>
        <v>0.137392638858764i</v>
      </c>
      <c r="AU494" s="32">
        <f t="shared" si="444"/>
        <v>0.13739263885876399</v>
      </c>
      <c r="AV494" s="32">
        <f t="shared" si="445"/>
        <v>1.5707963267948966</v>
      </c>
      <c r="AW494" s="32" t="str">
        <f t="shared" si="421"/>
        <v>1+29.2520726390156i</v>
      </c>
      <c r="AX494" s="32">
        <f t="shared" si="446"/>
        <v>29.2691604539359</v>
      </c>
      <c r="AY494" s="32">
        <f t="shared" si="447"/>
        <v>1.5366240227246557</v>
      </c>
      <c r="AZ494" s="32" t="str">
        <f t="shared" si="422"/>
        <v>1+555.789380141297i</v>
      </c>
      <c r="BA494" s="32">
        <f t="shared" si="448"/>
        <v>555.79027976193254</v>
      </c>
      <c r="BB494" s="32">
        <f t="shared" si="449"/>
        <v>1.5689970860093738</v>
      </c>
      <c r="BC494" s="60" t="str">
        <f t="shared" si="450"/>
        <v>-0.000763764266661945+0.0235843432272695i</v>
      </c>
      <c r="BD494" s="51">
        <f t="shared" si="451"/>
        <v>-32.542972000634968</v>
      </c>
      <c r="BE494" s="63">
        <f t="shared" si="452"/>
        <v>91.854839896124275</v>
      </c>
      <c r="BF494" s="60" t="str">
        <f t="shared" si="453"/>
        <v>-0.000430405283833441-0.00213473059444654i</v>
      </c>
      <c r="BG494" s="66">
        <f t="shared" si="454"/>
        <v>-53.2400883112713</v>
      </c>
      <c r="BH494" s="63">
        <f t="shared" si="455"/>
        <v>-101.39917704887905</v>
      </c>
      <c r="BI494" s="60" t="e">
        <f t="shared" si="409"/>
        <v>#NUM!</v>
      </c>
      <c r="BJ494" s="66" t="e">
        <f t="shared" si="456"/>
        <v>#NUM!</v>
      </c>
      <c r="BK494" s="63" t="e">
        <f t="shared" si="410"/>
        <v>#NUM!</v>
      </c>
      <c r="BL494" s="51">
        <f t="shared" si="457"/>
        <v>-53.2400883112713</v>
      </c>
      <c r="BM494" s="63">
        <f t="shared" si="458"/>
        <v>-101.39917704887905</v>
      </c>
    </row>
    <row r="495" spans="14:65" x14ac:dyDescent="0.3">
      <c r="N495" s="11">
        <v>77</v>
      </c>
      <c r="O495" s="52">
        <f t="shared" si="459"/>
        <v>588843.65535558888</v>
      </c>
      <c r="P495" s="50" t="str">
        <f t="shared" si="411"/>
        <v>23.3035714285714</v>
      </c>
      <c r="Q495" s="18" t="str">
        <f t="shared" si="412"/>
        <v>1+1982.04310904794i</v>
      </c>
      <c r="R495" s="18">
        <f t="shared" si="423"/>
        <v>1982.0433613128714</v>
      </c>
      <c r="S495" s="18">
        <f t="shared" si="424"/>
        <v>1.5702917969435604</v>
      </c>
      <c r="T495" s="18" t="str">
        <f t="shared" si="413"/>
        <v>1+3.69981380355616i</v>
      </c>
      <c r="U495" s="18">
        <f t="shared" si="425"/>
        <v>3.8325738324244583</v>
      </c>
      <c r="V495" s="18">
        <f t="shared" si="426"/>
        <v>1.3068199275275025</v>
      </c>
      <c r="W495" s="32" t="str">
        <f t="shared" si="414"/>
        <v>1-9.04398929758173i</v>
      </c>
      <c r="X495" s="18">
        <f t="shared" si="427"/>
        <v>9.0991066822393538</v>
      </c>
      <c r="Y495" s="18">
        <f t="shared" si="428"/>
        <v>-1.4606729828095342</v>
      </c>
      <c r="Z495" s="32" t="str">
        <f t="shared" si="415"/>
        <v>-0.38694740181013+4.43875911547141i</v>
      </c>
      <c r="AA495" s="18">
        <f t="shared" si="429"/>
        <v>4.4555932014657875</v>
      </c>
      <c r="AB495" s="18">
        <f t="shared" si="430"/>
        <v>1.6577511816191919</v>
      </c>
      <c r="AC495" s="68" t="str">
        <f t="shared" si="431"/>
        <v>-0.0893781150907854+0.0219010591592371i</v>
      </c>
      <c r="AD495" s="66">
        <f t="shared" si="432"/>
        <v>-20.722138246041219</v>
      </c>
      <c r="AE495" s="63">
        <f t="shared" si="433"/>
        <v>166.23163050866165</v>
      </c>
      <c r="AF495" s="51" t="e">
        <f t="shared" si="434"/>
        <v>#NUM!</v>
      </c>
      <c r="AG495" s="51" t="str">
        <f t="shared" si="416"/>
        <v>1-2774.86035266713i</v>
      </c>
      <c r="AH495" s="51">
        <f t="shared" si="435"/>
        <v>2774.8605328563722</v>
      </c>
      <c r="AI495" s="51">
        <f t="shared" si="436"/>
        <v>-1.5704359483146795</v>
      </c>
      <c r="AJ495" s="51" t="str">
        <f t="shared" si="417"/>
        <v>1+3.69981380355616i</v>
      </c>
      <c r="AK495" s="51">
        <f t="shared" si="437"/>
        <v>3.8325738324244583</v>
      </c>
      <c r="AL495" s="51">
        <f t="shared" si="438"/>
        <v>1.3068199275275025</v>
      </c>
      <c r="AM495" s="51" t="e">
        <f t="shared" si="418"/>
        <v>#NUM!</v>
      </c>
      <c r="AN495" s="51" t="e">
        <f t="shared" si="439"/>
        <v>#NUM!</v>
      </c>
      <c r="AO495" s="51" t="e">
        <f t="shared" si="440"/>
        <v>#NUM!</v>
      </c>
      <c r="AP495" s="60" t="e">
        <f t="shared" si="441"/>
        <v>#NUM!</v>
      </c>
      <c r="AQ495" s="51" t="e">
        <f t="shared" si="442"/>
        <v>#NUM!</v>
      </c>
      <c r="AR495" s="63" t="e">
        <f t="shared" si="443"/>
        <v>#NUM!</v>
      </c>
      <c r="AS495" s="32" t="str">
        <f t="shared" si="419"/>
        <v>-0.000170731707317073</v>
      </c>
      <c r="AT495" s="32" t="str">
        <f t="shared" si="420"/>
        <v>0.140592924535134i</v>
      </c>
      <c r="AU495" s="32">
        <f t="shared" si="444"/>
        <v>0.140592924535134</v>
      </c>
      <c r="AV495" s="32">
        <f t="shared" si="445"/>
        <v>1.5707963267948966</v>
      </c>
      <c r="AW495" s="32" t="str">
        <f t="shared" si="421"/>
        <v>1+29.9334409411922i</v>
      </c>
      <c r="AX495" s="32">
        <f t="shared" si="446"/>
        <v>29.9501400093529</v>
      </c>
      <c r="AY495" s="32">
        <f t="shared" si="447"/>
        <v>1.5374012944097764</v>
      </c>
      <c r="AZ495" s="32" t="str">
        <f t="shared" si="422"/>
        <v>1+568.735377882653i</v>
      </c>
      <c r="BA495" s="32">
        <f t="shared" si="448"/>
        <v>568.73625702545473</v>
      </c>
      <c r="BB495" s="32">
        <f t="shared" si="449"/>
        <v>1.5690380416444274</v>
      </c>
      <c r="BC495" s="60" t="str">
        <f t="shared" si="450"/>
        <v>-0.000729427533911014+0.0230486451362459i</v>
      </c>
      <c r="BD495" s="51">
        <f t="shared" si="451"/>
        <v>-32.742744463034668</v>
      </c>
      <c r="BE495" s="63">
        <f t="shared" si="452"/>
        <v>91.812652094067687</v>
      </c>
      <c r="BF495" s="60" t="str">
        <f t="shared" si="453"/>
        <v>-0.000439594882592898-0.00207601969324662i</v>
      </c>
      <c r="BG495" s="66">
        <f t="shared" si="454"/>
        <v>-53.464882709075887</v>
      </c>
      <c r="BH495" s="63">
        <f t="shared" si="455"/>
        <v>-101.95571739727065</v>
      </c>
      <c r="BI495" s="60" t="e">
        <f t="shared" si="409"/>
        <v>#NUM!</v>
      </c>
      <c r="BJ495" s="66" t="e">
        <f t="shared" si="456"/>
        <v>#NUM!</v>
      </c>
      <c r="BK495" s="63" t="e">
        <f t="shared" si="410"/>
        <v>#NUM!</v>
      </c>
      <c r="BL495" s="51">
        <f t="shared" si="457"/>
        <v>-53.464882709075887</v>
      </c>
      <c r="BM495" s="63">
        <f t="shared" si="458"/>
        <v>-101.95571739727065</v>
      </c>
    </row>
    <row r="496" spans="14:65" x14ac:dyDescent="0.3">
      <c r="N496" s="11">
        <v>78</v>
      </c>
      <c r="O496" s="52">
        <f t="shared" si="459"/>
        <v>602559.58607435878</v>
      </c>
      <c r="P496" s="50" t="str">
        <f t="shared" si="411"/>
        <v>23.3035714285714</v>
      </c>
      <c r="Q496" s="18" t="str">
        <f t="shared" si="412"/>
        <v>1+2028.21082388711i</v>
      </c>
      <c r="R496" s="18">
        <f t="shared" si="423"/>
        <v>2028.2110704097909</v>
      </c>
      <c r="S496" s="18">
        <f t="shared" si="424"/>
        <v>1.5703032814432047</v>
      </c>
      <c r="T496" s="18" t="str">
        <f t="shared" si="413"/>
        <v>1+3.78599353792262i</v>
      </c>
      <c r="U496" s="18">
        <f t="shared" si="425"/>
        <v>3.9158328704366121</v>
      </c>
      <c r="V496" s="18">
        <f t="shared" si="426"/>
        <v>1.3125623198487593</v>
      </c>
      <c r="W496" s="32" t="str">
        <f t="shared" si="414"/>
        <v>1-9.25465087047752i</v>
      </c>
      <c r="X496" s="18">
        <f t="shared" si="427"/>
        <v>9.3085209745925965</v>
      </c>
      <c r="Y496" s="18">
        <f t="shared" si="428"/>
        <v>-1.4631601577404776</v>
      </c>
      <c r="Z496" s="32" t="str">
        <f t="shared" si="415"/>
        <v>-0.45231221908041+4.54215109728421i</v>
      </c>
      <c r="AA496" s="18">
        <f t="shared" si="429"/>
        <v>4.5646164060181</v>
      </c>
      <c r="AB496" s="18">
        <f t="shared" si="430"/>
        <v>1.6700501696176102</v>
      </c>
      <c r="AC496" s="68" t="str">
        <f t="shared" si="431"/>
        <v>-0.088913034006302+0.022642491141473i</v>
      </c>
      <c r="AD496" s="66">
        <f t="shared" si="432"/>
        <v>-20.747802434783754</v>
      </c>
      <c r="AE496" s="63">
        <f t="shared" si="433"/>
        <v>165.71280260857333</v>
      </c>
      <c r="AF496" s="51" t="e">
        <f t="shared" si="434"/>
        <v>#NUM!</v>
      </c>
      <c r="AG496" s="51" t="str">
        <f t="shared" si="416"/>
        <v>1-2839.49515344197i</v>
      </c>
      <c r="AH496" s="51">
        <f t="shared" si="435"/>
        <v>2839.4953295296045</v>
      </c>
      <c r="AI496" s="51">
        <f t="shared" si="436"/>
        <v>-1.5704441515297107</v>
      </c>
      <c r="AJ496" s="51" t="str">
        <f t="shared" si="417"/>
        <v>1+3.78599353792262i</v>
      </c>
      <c r="AK496" s="51">
        <f t="shared" si="437"/>
        <v>3.9158328704366121</v>
      </c>
      <c r="AL496" s="51">
        <f t="shared" si="438"/>
        <v>1.3125623198487593</v>
      </c>
      <c r="AM496" s="51" t="e">
        <f t="shared" si="418"/>
        <v>#NUM!</v>
      </c>
      <c r="AN496" s="51" t="e">
        <f t="shared" si="439"/>
        <v>#NUM!</v>
      </c>
      <c r="AO496" s="51" t="e">
        <f t="shared" si="440"/>
        <v>#NUM!</v>
      </c>
      <c r="AP496" s="60" t="e">
        <f t="shared" si="441"/>
        <v>#NUM!</v>
      </c>
      <c r="AQ496" s="51" t="e">
        <f t="shared" si="442"/>
        <v>#NUM!</v>
      </c>
      <c r="AR496" s="63" t="e">
        <f t="shared" si="443"/>
        <v>#NUM!</v>
      </c>
      <c r="AS496" s="32" t="str">
        <f t="shared" si="419"/>
        <v>-0.000170731707317073</v>
      </c>
      <c r="AT496" s="32" t="str">
        <f t="shared" si="420"/>
        <v>0.14386775444106i</v>
      </c>
      <c r="AU496" s="32">
        <f t="shared" si="444"/>
        <v>0.14386775444106001</v>
      </c>
      <c r="AV496" s="32">
        <f t="shared" si="445"/>
        <v>1.5707963267948966</v>
      </c>
      <c r="AW496" s="32" t="str">
        <f t="shared" si="421"/>
        <v>1+30.6306803499718i</v>
      </c>
      <c r="AX496" s="32">
        <f t="shared" si="446"/>
        <v>30.646999505696286</v>
      </c>
      <c r="AY496" s="32">
        <f t="shared" si="447"/>
        <v>1.5381609122386448</v>
      </c>
      <c r="AZ496" s="32" t="str">
        <f t="shared" si="422"/>
        <v>1+581.982926649465i</v>
      </c>
      <c r="BA496" s="32">
        <f t="shared" si="448"/>
        <v>581.98378578056315</v>
      </c>
      <c r="BB496" s="32">
        <f t="shared" si="449"/>
        <v>1.5690780650211094</v>
      </c>
      <c r="BC496" s="60" t="str">
        <f t="shared" si="450"/>
        <v>-0.000696632840394386+0.022525064568292i</v>
      </c>
      <c r="BD496" s="51">
        <f t="shared" si="451"/>
        <v>-32.942527155122406</v>
      </c>
      <c r="BE496" s="63">
        <f t="shared" si="452"/>
        <v>91.771422368996355</v>
      </c>
      <c r="BF496" s="60" t="str">
        <f t="shared" si="453"/>
        <v>-0.000448083835520766-0.00201854533487218i</v>
      </c>
      <c r="BG496" s="66">
        <f t="shared" si="454"/>
        <v>-53.69032958990617</v>
      </c>
      <c r="BH496" s="63">
        <f t="shared" si="455"/>
        <v>-102.51577502243032</v>
      </c>
      <c r="BI496" s="60" t="e">
        <f t="shared" si="409"/>
        <v>#NUM!</v>
      </c>
      <c r="BJ496" s="66" t="e">
        <f t="shared" si="456"/>
        <v>#NUM!</v>
      </c>
      <c r="BK496" s="63" t="e">
        <f t="shared" si="410"/>
        <v>#NUM!</v>
      </c>
      <c r="BL496" s="51">
        <f t="shared" si="457"/>
        <v>-53.69032958990617</v>
      </c>
      <c r="BM496" s="63">
        <f t="shared" si="458"/>
        <v>-102.51577502243032</v>
      </c>
    </row>
    <row r="497" spans="14:65" x14ac:dyDescent="0.3">
      <c r="N497" s="11">
        <v>79</v>
      </c>
      <c r="O497" s="52">
        <f t="shared" si="459"/>
        <v>616595.00186148309</v>
      </c>
      <c r="P497" s="50" t="str">
        <f t="shared" si="411"/>
        <v>23.3035714285714</v>
      </c>
      <c r="Q497" s="18" t="str">
        <f t="shared" si="412"/>
        <v>1+2075.45392295166i</v>
      </c>
      <c r="R497" s="18">
        <f t="shared" si="423"/>
        <v>2075.4541638628002</v>
      </c>
      <c r="S497" s="18">
        <f t="shared" si="424"/>
        <v>1.5703145045238469</v>
      </c>
      <c r="T497" s="18" t="str">
        <f t="shared" si="413"/>
        <v>1+3.87418065617644i</v>
      </c>
      <c r="U497" s="18">
        <f t="shared" si="425"/>
        <v>4.0011593015889417</v>
      </c>
      <c r="V497" s="18">
        <f t="shared" si="426"/>
        <v>1.3181908818440584</v>
      </c>
      <c r="W497" s="32" t="str">
        <f t="shared" si="414"/>
        <v>1-9.47021938176463i</v>
      </c>
      <c r="X497" s="18">
        <f t="shared" si="427"/>
        <v>9.5228701103580349</v>
      </c>
      <c r="Y497" s="18">
        <f t="shared" si="428"/>
        <v>-1.4655920101184823</v>
      </c>
      <c r="Z497" s="32" t="str">
        <f t="shared" si="415"/>
        <v>-0.52075758528225+4.64795138773128i</v>
      </c>
      <c r="AA497" s="18">
        <f t="shared" si="429"/>
        <v>4.6770333081283626</v>
      </c>
      <c r="AB497" s="18">
        <f t="shared" si="430"/>
        <v>1.682371251386912</v>
      </c>
      <c r="AC497" s="68" t="str">
        <f t="shared" si="431"/>
        <v>-0.0884338297721547+0.0233827763029653i</v>
      </c>
      <c r="AD497" s="66">
        <f t="shared" si="432"/>
        <v>-20.774148425208057</v>
      </c>
      <c r="AE497" s="63">
        <f t="shared" si="433"/>
        <v>165.18937155840268</v>
      </c>
      <c r="AF497" s="51" t="e">
        <f t="shared" si="434"/>
        <v>#NUM!</v>
      </c>
      <c r="AG497" s="51" t="str">
        <f t="shared" si="416"/>
        <v>1-2905.63549213234i</v>
      </c>
      <c r="AH497" s="51">
        <f t="shared" si="435"/>
        <v>2905.6356642117307</v>
      </c>
      <c r="AI497" s="51">
        <f t="shared" si="436"/>
        <v>-1.5704521680168166</v>
      </c>
      <c r="AJ497" s="51" t="str">
        <f t="shared" si="417"/>
        <v>1+3.87418065617644i</v>
      </c>
      <c r="AK497" s="51">
        <f t="shared" si="437"/>
        <v>4.0011593015889417</v>
      </c>
      <c r="AL497" s="51">
        <f t="shared" si="438"/>
        <v>1.3181908818440584</v>
      </c>
      <c r="AM497" s="51" t="e">
        <f t="shared" si="418"/>
        <v>#NUM!</v>
      </c>
      <c r="AN497" s="51" t="e">
        <f t="shared" si="439"/>
        <v>#NUM!</v>
      </c>
      <c r="AO497" s="51" t="e">
        <f t="shared" si="440"/>
        <v>#NUM!</v>
      </c>
      <c r="AP497" s="60" t="e">
        <f t="shared" si="441"/>
        <v>#NUM!</v>
      </c>
      <c r="AQ497" s="51" t="e">
        <f t="shared" si="442"/>
        <v>#NUM!</v>
      </c>
      <c r="AR497" s="63" t="e">
        <f t="shared" si="443"/>
        <v>#NUM!</v>
      </c>
      <c r="AS497" s="32" t="str">
        <f t="shared" si="419"/>
        <v>-0.000170731707317073</v>
      </c>
      <c r="AT497" s="32" t="str">
        <f t="shared" si="420"/>
        <v>0.147218864934705i</v>
      </c>
      <c r="AU497" s="32">
        <f t="shared" si="444"/>
        <v>0.14721886493470501</v>
      </c>
      <c r="AV497" s="32">
        <f t="shared" si="445"/>
        <v>1.5707963267948966</v>
      </c>
      <c r="AW497" s="32" t="str">
        <f t="shared" si="421"/>
        <v>1+31.344160550918i</v>
      </c>
      <c r="AX497" s="32">
        <f t="shared" si="446"/>
        <v>31.360108428411472</v>
      </c>
      <c r="AY497" s="32">
        <f t="shared" si="447"/>
        <v>1.5389032754621716</v>
      </c>
      <c r="AZ497" s="32" t="str">
        <f t="shared" si="422"/>
        <v>1+595.539050467443i</v>
      </c>
      <c r="BA497" s="32">
        <f t="shared" si="448"/>
        <v>595.5398900423578</v>
      </c>
      <c r="BB497" s="32">
        <f t="shared" si="449"/>
        <v>1.5691171773598305</v>
      </c>
      <c r="BC497" s="60" t="str">
        <f t="shared" si="450"/>
        <v>-0.000665311078825981+0.0220133307859536i</v>
      </c>
      <c r="BD497" s="51">
        <f t="shared" si="451"/>
        <v>-33.142319617469987</v>
      </c>
      <c r="BE497" s="63">
        <f t="shared" si="452"/>
        <v>91.731129061358146</v>
      </c>
      <c r="BF497" s="60" t="str">
        <f t="shared" si="453"/>
        <v>-0.000455896782760707-0.00196227996757123i</v>
      </c>
      <c r="BG497" s="66">
        <f t="shared" si="454"/>
        <v>-53.916468042678019</v>
      </c>
      <c r="BH497" s="63">
        <f t="shared" si="455"/>
        <v>-103.07949938023913</v>
      </c>
      <c r="BI497" s="60" t="e">
        <f t="shared" si="409"/>
        <v>#NUM!</v>
      </c>
      <c r="BJ497" s="66" t="e">
        <f t="shared" si="456"/>
        <v>#NUM!</v>
      </c>
      <c r="BK497" s="63" t="e">
        <f t="shared" si="410"/>
        <v>#NUM!</v>
      </c>
      <c r="BL497" s="51">
        <f t="shared" si="457"/>
        <v>-53.916468042678019</v>
      </c>
      <c r="BM497" s="63">
        <f t="shared" si="458"/>
        <v>-103.07949938023913</v>
      </c>
    </row>
    <row r="498" spans="14:65" x14ac:dyDescent="0.3">
      <c r="N498" s="11">
        <v>80</v>
      </c>
      <c r="O498" s="52">
        <f t="shared" si="459"/>
        <v>630957.34448019415</v>
      </c>
      <c r="P498" s="50" t="str">
        <f t="shared" si="411"/>
        <v>23.3035714285714</v>
      </c>
      <c r="Q498" s="18" t="str">
        <f t="shared" si="412"/>
        <v>1+2123.79745515803i</v>
      </c>
      <c r="R498" s="18">
        <f t="shared" si="423"/>
        <v>2123.7976905853639</v>
      </c>
      <c r="S498" s="18">
        <f t="shared" si="424"/>
        <v>1.5703254721361013</v>
      </c>
      <c r="T498" s="18" t="str">
        <f t="shared" si="413"/>
        <v>1+3.964421916295i</v>
      </c>
      <c r="U498" s="18">
        <f t="shared" si="425"/>
        <v>4.088598920217061</v>
      </c>
      <c r="V498" s="18">
        <f t="shared" si="426"/>
        <v>1.3237071707233365</v>
      </c>
      <c r="W498" s="32" t="str">
        <f t="shared" si="414"/>
        <v>1-9.69080912872111i</v>
      </c>
      <c r="X498" s="18">
        <f t="shared" si="427"/>
        <v>9.7422677836992548</v>
      </c>
      <c r="Y498" s="18">
        <f t="shared" si="428"/>
        <v>-1.4679697142272035</v>
      </c>
      <c r="Z498" s="32" t="str">
        <f t="shared" si="415"/>
        <v>-0.59242868221399+4.75621608352702i</v>
      </c>
      <c r="AA498" s="18">
        <f t="shared" si="429"/>
        <v>4.7929701831652274</v>
      </c>
      <c r="AB498" s="18">
        <f t="shared" si="430"/>
        <v>1.6947169091372121</v>
      </c>
      <c r="AC498" s="68" t="str">
        <f t="shared" si="431"/>
        <v>-0.0879400569439531+0.0241216702721631i</v>
      </c>
      <c r="AD498" s="66">
        <f t="shared" si="432"/>
        <v>-20.801216289066851</v>
      </c>
      <c r="AE498" s="63">
        <f t="shared" si="433"/>
        <v>164.66121673710094</v>
      </c>
      <c r="AF498" s="51" t="e">
        <f t="shared" si="434"/>
        <v>#NUM!</v>
      </c>
      <c r="AG498" s="51" t="str">
        <f t="shared" si="416"/>
        <v>1-2973.31643722126i</v>
      </c>
      <c r="AH498" s="51">
        <f t="shared" si="435"/>
        <v>2973.3166053836458</v>
      </c>
      <c r="AI498" s="51">
        <f t="shared" si="436"/>
        <v>-1.5704600020264405</v>
      </c>
      <c r="AJ498" s="51" t="str">
        <f t="shared" si="417"/>
        <v>1+3.964421916295i</v>
      </c>
      <c r="AK498" s="51">
        <f t="shared" si="437"/>
        <v>4.088598920217061</v>
      </c>
      <c r="AL498" s="51">
        <f t="shared" si="438"/>
        <v>1.3237071707233365</v>
      </c>
      <c r="AM498" s="51" t="e">
        <f t="shared" si="418"/>
        <v>#NUM!</v>
      </c>
      <c r="AN498" s="51" t="e">
        <f t="shared" si="439"/>
        <v>#NUM!</v>
      </c>
      <c r="AO498" s="51" t="e">
        <f t="shared" si="440"/>
        <v>#NUM!</v>
      </c>
      <c r="AP498" s="60" t="e">
        <f t="shared" si="441"/>
        <v>#NUM!</v>
      </c>
      <c r="AQ498" s="51" t="e">
        <f t="shared" si="442"/>
        <v>#NUM!</v>
      </c>
      <c r="AR498" s="63" t="e">
        <f t="shared" si="443"/>
        <v>#NUM!</v>
      </c>
      <c r="AS498" s="32" t="str">
        <f t="shared" si="419"/>
        <v>-0.000170731707317073</v>
      </c>
      <c r="AT498" s="32" t="str">
        <f t="shared" si="420"/>
        <v>0.15064803281921i</v>
      </c>
      <c r="AU498" s="32">
        <f t="shared" si="444"/>
        <v>0.15064803281920999</v>
      </c>
      <c r="AV498" s="32">
        <f t="shared" si="445"/>
        <v>1.5707963267948966</v>
      </c>
      <c r="AW498" s="32" t="str">
        <f t="shared" si="421"/>
        <v>1+32.0742598406772i</v>
      </c>
      <c r="AX498" s="32">
        <f t="shared" si="446"/>
        <v>32.089844878516914</v>
      </c>
      <c r="AY498" s="32">
        <f t="shared" si="447"/>
        <v>1.539628774416343</v>
      </c>
      <c r="AZ498" s="32" t="str">
        <f t="shared" si="422"/>
        <v>1+609.410936972868i</v>
      </c>
      <c r="BA498" s="32">
        <f t="shared" si="448"/>
        <v>609.41175743675046</v>
      </c>
      <c r="BB498" s="32">
        <f t="shared" si="449"/>
        <v>1.5691553993979916</v>
      </c>
      <c r="BC498" s="60" t="str">
        <f t="shared" si="450"/>
        <v>-0.00063539622628254+0.0215131788760046i</v>
      </c>
      <c r="BD498" s="51">
        <f t="shared" si="451"/>
        <v>-33.342121411240477</v>
      </c>
      <c r="BE498" s="63">
        <f t="shared" si="452"/>
        <v>91.691750994713999</v>
      </c>
      <c r="BF498" s="60" t="str">
        <f t="shared" si="453"/>
        <v>-0.000463057027031788-0.00190719699366386i</v>
      </c>
      <c r="BG498" s="66">
        <f t="shared" si="454"/>
        <v>-54.143337700307313</v>
      </c>
      <c r="BH498" s="63">
        <f t="shared" si="455"/>
        <v>-103.64703226818503</v>
      </c>
      <c r="BI498" s="60" t="e">
        <f t="shared" ref="BI498:BI560" si="460">IMPRODUCT(AP498,BC498)</f>
        <v>#NUM!</v>
      </c>
      <c r="BJ498" s="66" t="e">
        <f t="shared" si="456"/>
        <v>#NUM!</v>
      </c>
      <c r="BK498" s="63" t="e">
        <f t="shared" ref="BK498:BK560" si="461">(180/PI())*IMARGUMENT(BI498)</f>
        <v>#NUM!</v>
      </c>
      <c r="BL498" s="51">
        <f t="shared" si="457"/>
        <v>-54.143337700307313</v>
      </c>
      <c r="BM498" s="63">
        <f t="shared" si="458"/>
        <v>-103.64703226818503</v>
      </c>
    </row>
    <row r="499" spans="14:65" x14ac:dyDescent="0.3">
      <c r="N499" s="11">
        <v>81</v>
      </c>
      <c r="O499" s="52">
        <f t="shared" si="459"/>
        <v>645654.22903465747</v>
      </c>
      <c r="P499" s="50" t="str">
        <f t="shared" si="411"/>
        <v>23.3035714285714</v>
      </c>
      <c r="Q499" s="18" t="str">
        <f t="shared" si="412"/>
        <v>1+2173.26705288692i</v>
      </c>
      <c r="R499" s="18">
        <f t="shared" si="423"/>
        <v>2173.2672829552739</v>
      </c>
      <c r="S499" s="18">
        <f t="shared" si="424"/>
        <v>1.5703361900951309</v>
      </c>
      <c r="T499" s="18" t="str">
        <f t="shared" si="413"/>
        <v>1+4.05676516538892i</v>
      </c>
      <c r="U499" s="18">
        <f t="shared" si="425"/>
        <v>4.1781986079066407</v>
      </c>
      <c r="V499" s="18">
        <f t="shared" si="426"/>
        <v>1.3291127678681849</v>
      </c>
      <c r="W499" s="32" t="str">
        <f t="shared" si="414"/>
        <v>1-9.9165370709507i</v>
      </c>
      <c r="X499" s="18">
        <f t="shared" si="427"/>
        <v>9.9668303627351609</v>
      </c>
      <c r="Y499" s="18">
        <f t="shared" si="428"/>
        <v>-1.4702944231597335</v>
      </c>
      <c r="Z499" s="32" t="str">
        <f t="shared" si="415"/>
        <v>-0.66747753388135+4.86700258804622i</v>
      </c>
      <c r="AA499" s="18">
        <f t="shared" si="429"/>
        <v>4.9125594602289482</v>
      </c>
      <c r="AB499" s="18">
        <f t="shared" si="430"/>
        <v>1.7070895399754535</v>
      </c>
      <c r="AC499" s="68" t="str">
        <f t="shared" si="431"/>
        <v>-0.0874312778442141+0.0248588959523457i</v>
      </c>
      <c r="AD499" s="66">
        <f t="shared" si="432"/>
        <v>-20.829046615665355</v>
      </c>
      <c r="AE499" s="63">
        <f t="shared" si="433"/>
        <v>164.12822500649636</v>
      </c>
      <c r="AF499" s="51" t="e">
        <f t="shared" si="434"/>
        <v>#NUM!</v>
      </c>
      <c r="AG499" s="51" t="str">
        <f t="shared" si="416"/>
        <v>1-3042.5738740417i</v>
      </c>
      <c r="AH499" s="51">
        <f t="shared" si="435"/>
        <v>3042.5740383762427</v>
      </c>
      <c r="AI499" s="51">
        <f t="shared" si="436"/>
        <v>-1.5704676577122743</v>
      </c>
      <c r="AJ499" s="51" t="str">
        <f t="shared" si="417"/>
        <v>1+4.05676516538892i</v>
      </c>
      <c r="AK499" s="51">
        <f t="shared" si="437"/>
        <v>4.1781986079066407</v>
      </c>
      <c r="AL499" s="51">
        <f t="shared" si="438"/>
        <v>1.3291127678681849</v>
      </c>
      <c r="AM499" s="51" t="e">
        <f t="shared" si="418"/>
        <v>#NUM!</v>
      </c>
      <c r="AN499" s="51" t="e">
        <f t="shared" si="439"/>
        <v>#NUM!</v>
      </c>
      <c r="AO499" s="51" t="e">
        <f t="shared" si="440"/>
        <v>#NUM!</v>
      </c>
      <c r="AP499" s="60" t="e">
        <f t="shared" si="441"/>
        <v>#NUM!</v>
      </c>
      <c r="AQ499" s="51" t="e">
        <f t="shared" si="442"/>
        <v>#NUM!</v>
      </c>
      <c r="AR499" s="63" t="e">
        <f t="shared" si="443"/>
        <v>#NUM!</v>
      </c>
      <c r="AS499" s="32" t="str">
        <f t="shared" si="419"/>
        <v>-0.000170731707317073</v>
      </c>
      <c r="AT499" s="32" t="str">
        <f t="shared" si="420"/>
        <v>0.154157076284779i</v>
      </c>
      <c r="AU499" s="32">
        <f t="shared" si="444"/>
        <v>0.15415707628477901</v>
      </c>
      <c r="AV499" s="32">
        <f t="shared" si="445"/>
        <v>1.5707963267948966</v>
      </c>
      <c r="AW499" s="32" t="str">
        <f t="shared" si="421"/>
        <v>1+32.821365327557i</v>
      </c>
      <c r="AX499" s="32">
        <f t="shared" si="446"/>
        <v>32.836595773084646</v>
      </c>
      <c r="AY499" s="32">
        <f t="shared" si="447"/>
        <v>1.5403377907136371</v>
      </c>
      <c r="AZ499" s="32" t="str">
        <f t="shared" si="422"/>
        <v>1+623.605941223585i</v>
      </c>
      <c r="BA499" s="32">
        <f t="shared" si="448"/>
        <v>623.60674301145377</v>
      </c>
      <c r="BB499" s="32">
        <f t="shared" si="449"/>
        <v>1.5691927514009765</v>
      </c>
      <c r="BC499" s="60" t="str">
        <f t="shared" si="450"/>
        <v>-0.000606825207662448+0.0210243496393246i</v>
      </c>
      <c r="BD499" s="51">
        <f t="shared" si="451"/>
        <v>-33.541932117269091</v>
      </c>
      <c r="BE499" s="63">
        <f t="shared" si="452"/>
        <v>91.653267465400461</v>
      </c>
      <c r="BF499" s="60" t="str">
        <f t="shared" si="453"/>
        <v>-0.000469586616815699-0.00185327075950823i</v>
      </c>
      <c r="BG499" s="66">
        <f t="shared" si="454"/>
        <v>-54.370978732934461</v>
      </c>
      <c r="BH499" s="63">
        <f t="shared" si="455"/>
        <v>-104.2185075281032</v>
      </c>
      <c r="BI499" s="60" t="e">
        <f t="shared" si="460"/>
        <v>#NUM!</v>
      </c>
      <c r="BJ499" s="66" t="e">
        <f t="shared" si="456"/>
        <v>#NUM!</v>
      </c>
      <c r="BK499" s="63" t="e">
        <f t="shared" si="461"/>
        <v>#NUM!</v>
      </c>
      <c r="BL499" s="51">
        <f t="shared" si="457"/>
        <v>-54.370978732934461</v>
      </c>
      <c r="BM499" s="63">
        <f t="shared" si="458"/>
        <v>-104.2185075281032</v>
      </c>
    </row>
    <row r="500" spans="14:65" x14ac:dyDescent="0.3">
      <c r="N500" s="11">
        <v>82</v>
      </c>
      <c r="O500" s="52">
        <f t="shared" si="459"/>
        <v>660693.44800759677</v>
      </c>
      <c r="P500" s="50" t="str">
        <f t="shared" si="411"/>
        <v>23.3035714285714</v>
      </c>
      <c r="Q500" s="18" t="str">
        <f t="shared" si="412"/>
        <v>1+2223.88894557383i</v>
      </c>
      <c r="R500" s="18">
        <f t="shared" si="423"/>
        <v>2223.8891704051889</v>
      </c>
      <c r="S500" s="18">
        <f t="shared" si="424"/>
        <v>1.5703466640837296</v>
      </c>
      <c r="T500" s="18" t="str">
        <f t="shared" si="413"/>
        <v>1+4.15125936507115i</v>
      </c>
      <c r="U500" s="18">
        <f t="shared" si="425"/>
        <v>4.2700063601932641</v>
      </c>
      <c r="V500" s="18">
        <f t="shared" si="426"/>
        <v>1.3344092752233949</v>
      </c>
      <c r="W500" s="32" t="str">
        <f t="shared" si="414"/>
        <v>1-10.1475228923961i</v>
      </c>
      <c r="X500" s="18">
        <f t="shared" si="427"/>
        <v>10.196676951424074</v>
      </c>
      <c r="Y500" s="18">
        <f t="shared" si="428"/>
        <v>-1.4725672689456273</v>
      </c>
      <c r="Z500" s="32" t="str">
        <f t="shared" si="415"/>
        <v>-0.74606332896067+4.98036964175998i</v>
      </c>
      <c r="AA500" s="18">
        <f t="shared" si="429"/>
        <v>5.0359400571675108</v>
      </c>
      <c r="AB500" s="18">
        <f t="shared" si="430"/>
        <v>1.7194914466537377</v>
      </c>
      <c r="AC500" s="68" t="str">
        <f t="shared" si="431"/>
        <v>-0.0869070642462669+0.0255941431477968i</v>
      </c>
      <c r="AD500" s="66">
        <f t="shared" si="432"/>
        <v>-20.857680502914665</v>
      </c>
      <c r="AE500" s="63">
        <f t="shared" si="433"/>
        <v>163.59029102717196</v>
      </c>
      <c r="AF500" s="51" t="e">
        <f t="shared" si="434"/>
        <v>#NUM!</v>
      </c>
      <c r="AG500" s="51" t="str">
        <f t="shared" si="416"/>
        <v>1-3113.44452380337i</v>
      </c>
      <c r="AH500" s="51">
        <f t="shared" si="435"/>
        <v>3113.4446843972023</v>
      </c>
      <c r="AI500" s="51">
        <f t="shared" si="436"/>
        <v>-1.5704751391334602</v>
      </c>
      <c r="AJ500" s="51" t="str">
        <f t="shared" si="417"/>
        <v>1+4.15125936507115i</v>
      </c>
      <c r="AK500" s="51">
        <f t="shared" si="437"/>
        <v>4.2700063601932641</v>
      </c>
      <c r="AL500" s="51">
        <f t="shared" si="438"/>
        <v>1.3344092752233949</v>
      </c>
      <c r="AM500" s="51" t="e">
        <f t="shared" si="418"/>
        <v>#NUM!</v>
      </c>
      <c r="AN500" s="51" t="e">
        <f t="shared" si="439"/>
        <v>#NUM!</v>
      </c>
      <c r="AO500" s="51" t="e">
        <f t="shared" si="440"/>
        <v>#NUM!</v>
      </c>
      <c r="AP500" s="60" t="e">
        <f t="shared" si="441"/>
        <v>#NUM!</v>
      </c>
      <c r="AQ500" s="51" t="e">
        <f t="shared" si="442"/>
        <v>#NUM!</v>
      </c>
      <c r="AR500" s="63" t="e">
        <f t="shared" si="443"/>
        <v>#NUM!</v>
      </c>
      <c r="AS500" s="32" t="str">
        <f t="shared" si="419"/>
        <v>-0.000170731707317073</v>
      </c>
      <c r="AT500" s="32" t="str">
        <f t="shared" si="420"/>
        <v>0.157747855872704i</v>
      </c>
      <c r="AU500" s="32">
        <f t="shared" si="444"/>
        <v>0.15774785587270401</v>
      </c>
      <c r="AV500" s="32">
        <f t="shared" si="445"/>
        <v>1.5707963267948966</v>
      </c>
      <c r="AW500" s="32" t="str">
        <f t="shared" si="421"/>
        <v>1+33.5858731367756i</v>
      </c>
      <c r="AX500" s="32">
        <f t="shared" si="446"/>
        <v>33.600757050393746</v>
      </c>
      <c r="AY500" s="32">
        <f t="shared" si="447"/>
        <v>1.5410306974308452</v>
      </c>
      <c r="AZ500" s="32" t="str">
        <f t="shared" si="422"/>
        <v>1+638.131589598737i</v>
      </c>
      <c r="BA500" s="32">
        <f t="shared" si="448"/>
        <v>638.13237313570835</v>
      </c>
      <c r="BB500" s="32">
        <f t="shared" si="449"/>
        <v>1.5692292531728942</v>
      </c>
      <c r="BC500" s="60" t="str">
        <f t="shared" si="450"/>
        <v>-0.000579537765090532+0.0205465894817996i</v>
      </c>
      <c r="BD500" s="51">
        <f t="shared" si="451"/>
        <v>-33.741751335184802</v>
      </c>
      <c r="BE500" s="63">
        <f t="shared" si="452"/>
        <v>91.615658232383794</v>
      </c>
      <c r="BF500" s="60" t="str">
        <f t="shared" si="453"/>
        <v>-0.000475506426612334-0.00180047654465571i</v>
      </c>
      <c r="BG500" s="66">
        <f t="shared" si="454"/>
        <v>-54.599431838099477</v>
      </c>
      <c r="BH500" s="63">
        <f t="shared" si="455"/>
        <v>-104.79405074044423</v>
      </c>
      <c r="BI500" s="60" t="e">
        <f t="shared" si="460"/>
        <v>#NUM!</v>
      </c>
      <c r="BJ500" s="66" t="e">
        <f t="shared" si="456"/>
        <v>#NUM!</v>
      </c>
      <c r="BK500" s="63" t="e">
        <f t="shared" si="461"/>
        <v>#NUM!</v>
      </c>
      <c r="BL500" s="51">
        <f t="shared" si="457"/>
        <v>-54.599431838099477</v>
      </c>
      <c r="BM500" s="63">
        <f t="shared" si="458"/>
        <v>-104.79405074044423</v>
      </c>
    </row>
    <row r="501" spans="14:65" x14ac:dyDescent="0.3">
      <c r="N501" s="11">
        <v>83</v>
      </c>
      <c r="O501" s="52">
        <f t="shared" si="459"/>
        <v>676082.97539198259</v>
      </c>
      <c r="P501" s="50" t="str">
        <f t="shared" si="411"/>
        <v>23.3035714285714</v>
      </c>
      <c r="Q501" s="18" t="str">
        <f t="shared" si="412"/>
        <v>1+2275.68997361633i</v>
      </c>
      <c r="R501" s="18">
        <f t="shared" si="423"/>
        <v>2275.6901933299032</v>
      </c>
      <c r="S501" s="18">
        <f t="shared" si="424"/>
        <v>1.5703568996553352</v>
      </c>
      <c r="T501" s="18" t="str">
        <f t="shared" si="413"/>
        <v>1+4.24795461741716i</v>
      </c>
      <c r="U501" s="18">
        <f t="shared" si="425"/>
        <v>4.3640713137660541</v>
      </c>
      <c r="V501" s="18">
        <f t="shared" si="426"/>
        <v>1.3395983118882944</v>
      </c>
      <c r="W501" s="32" t="str">
        <f t="shared" si="414"/>
        <v>1-10.3838890647975i</v>
      </c>
      <c r="X501" s="18">
        <f t="shared" si="427"/>
        <v>10.43192945288747</v>
      </c>
      <c r="Y501" s="18">
        <f t="shared" si="428"/>
        <v>-1.4747893626972302</v>
      </c>
      <c r="Z501" s="32" t="str">
        <f t="shared" si="415"/>
        <v>-0.82835275845951+5.0963773533808i</v>
      </c>
      <c r="AA501" s="18">
        <f t="shared" si="429"/>
        <v>5.1632577333017347</v>
      </c>
      <c r="AB501" s="18">
        <f t="shared" si="430"/>
        <v>1.7319248283685762</v>
      </c>
      <c r="AC501" s="68" t="str">
        <f t="shared" si="431"/>
        <v>-0.0863669991522871+0.0263270682688948i</v>
      </c>
      <c r="AD501" s="66">
        <f t="shared" si="432"/>
        <v>-20.887159545061053</v>
      </c>
      <c r="AE501" s="63">
        <f t="shared" si="433"/>
        <v>163.04731758177073</v>
      </c>
      <c r="AF501" s="51" t="e">
        <f t="shared" si="434"/>
        <v>#NUM!</v>
      </c>
      <c r="AG501" s="51" t="str">
        <f t="shared" si="416"/>
        <v>1-3185.96596306288i</v>
      </c>
      <c r="AH501" s="51">
        <f t="shared" si="435"/>
        <v>3185.9661200011506</v>
      </c>
      <c r="AI501" s="51">
        <f t="shared" si="436"/>
        <v>-1.5704824502567434</v>
      </c>
      <c r="AJ501" s="51" t="str">
        <f t="shared" si="417"/>
        <v>1+4.24795461741716i</v>
      </c>
      <c r="AK501" s="51">
        <f t="shared" si="437"/>
        <v>4.3640713137660541</v>
      </c>
      <c r="AL501" s="51">
        <f t="shared" si="438"/>
        <v>1.3395983118882944</v>
      </c>
      <c r="AM501" s="51" t="e">
        <f t="shared" si="418"/>
        <v>#NUM!</v>
      </c>
      <c r="AN501" s="51" t="e">
        <f t="shared" si="439"/>
        <v>#NUM!</v>
      </c>
      <c r="AO501" s="51" t="e">
        <f t="shared" si="440"/>
        <v>#NUM!</v>
      </c>
      <c r="AP501" s="60" t="e">
        <f t="shared" si="441"/>
        <v>#NUM!</v>
      </c>
      <c r="AQ501" s="51" t="e">
        <f t="shared" si="442"/>
        <v>#NUM!</v>
      </c>
      <c r="AR501" s="63" t="e">
        <f t="shared" si="443"/>
        <v>#NUM!</v>
      </c>
      <c r="AS501" s="32" t="str">
        <f t="shared" si="419"/>
        <v>-0.000170731707317073</v>
      </c>
      <c r="AT501" s="32" t="str">
        <f t="shared" si="420"/>
        <v>0.161422275461852i</v>
      </c>
      <c r="AU501" s="32">
        <f t="shared" si="444"/>
        <v>0.16142227546185201</v>
      </c>
      <c r="AV501" s="32">
        <f t="shared" si="445"/>
        <v>1.5707963267948966</v>
      </c>
      <c r="AW501" s="32" t="str">
        <f t="shared" si="421"/>
        <v>1+34.3681886204929i</v>
      </c>
      <c r="AX501" s="32">
        <f t="shared" si="446"/>
        <v>34.382733879867345</v>
      </c>
      <c r="AY501" s="32">
        <f t="shared" si="447"/>
        <v>1.5417078592933326</v>
      </c>
      <c r="AZ501" s="32" t="str">
        <f t="shared" si="422"/>
        <v>1+652.995583789366i</v>
      </c>
      <c r="BA501" s="32">
        <f t="shared" si="448"/>
        <v>652.99634949087954</v>
      </c>
      <c r="BB501" s="32">
        <f t="shared" si="449"/>
        <v>1.5692649240670782</v>
      </c>
      <c r="BC501" s="60" t="str">
        <f t="shared" si="450"/>
        <v>-0.000553476333018551+0.0200796503063218i</v>
      </c>
      <c r="BD501" s="51">
        <f t="shared" si="451"/>
        <v>-33.94157868257021</v>
      </c>
      <c r="BE501" s="63">
        <f t="shared" si="452"/>
        <v>91.578903507304247</v>
      </c>
      <c r="BF501" s="60" t="str">
        <f t="shared" si="453"/>
        <v>-0.000480836234445444-0.00174879055018891i</v>
      </c>
      <c r="BG501" s="66">
        <f t="shared" si="454"/>
        <v>-54.828738227631284</v>
      </c>
      <c r="BH501" s="63">
        <f t="shared" si="455"/>
        <v>-105.37377891092503</v>
      </c>
      <c r="BI501" s="60" t="e">
        <f t="shared" si="460"/>
        <v>#NUM!</v>
      </c>
      <c r="BJ501" s="66" t="e">
        <f t="shared" si="456"/>
        <v>#NUM!</v>
      </c>
      <c r="BK501" s="63" t="e">
        <f t="shared" si="461"/>
        <v>#NUM!</v>
      </c>
      <c r="BL501" s="51">
        <f t="shared" si="457"/>
        <v>-54.828738227631284</v>
      </c>
      <c r="BM501" s="63">
        <f t="shared" si="458"/>
        <v>-105.37377891092503</v>
      </c>
    </row>
    <row r="502" spans="14:65" x14ac:dyDescent="0.3">
      <c r="N502" s="11">
        <v>84</v>
      </c>
      <c r="O502" s="52">
        <f t="shared" si="459"/>
        <v>691830.97091893724</v>
      </c>
      <c r="P502" s="50" t="str">
        <f t="shared" si="411"/>
        <v>23.3035714285714</v>
      </c>
      <c r="Q502" s="18" t="str">
        <f t="shared" si="412"/>
        <v>1+2328.69760260517i</v>
      </c>
      <c r="R502" s="18">
        <f t="shared" si="423"/>
        <v>2328.6978173174521</v>
      </c>
      <c r="S502" s="18">
        <f t="shared" si="424"/>
        <v>1.5703669022369751</v>
      </c>
      <c r="T502" s="18" t="str">
        <f t="shared" si="413"/>
        <v>1+4.34690219152965i</v>
      </c>
      <c r="U502" s="18">
        <f t="shared" si="425"/>
        <v>4.4604437741916749</v>
      </c>
      <c r="V502" s="18">
        <f t="shared" si="426"/>
        <v>1.3446815109030295</v>
      </c>
      <c r="W502" s="32" t="str">
        <f t="shared" si="414"/>
        <v>1-10.625760912628i</v>
      </c>
      <c r="X502" s="18">
        <f t="shared" si="427"/>
        <v>10.672712634205654</v>
      </c>
      <c r="Y502" s="18">
        <f t="shared" si="428"/>
        <v>-1.4769617947735321</v>
      </c>
      <c r="Z502" s="32" t="str">
        <f t="shared" si="415"/>
        <v>-0.91452036929056+5.21508723173291i</v>
      </c>
      <c r="AA502" s="18">
        <f t="shared" si="429"/>
        <v>5.294665460671804</v>
      </c>
      <c r="AB502" s="18">
        <f t="shared" si="430"/>
        <v>1.7443917716259283</v>
      </c>
      <c r="AC502" s="68" t="str">
        <f t="shared" si="431"/>
        <v>-0.0858106786640701+0.0270572941275531i</v>
      </c>
      <c r="AD502" s="66">
        <f t="shared" si="432"/>
        <v>-20.917525816864092</v>
      </c>
      <c r="AE502" s="63">
        <f t="shared" si="433"/>
        <v>162.49921590470163</v>
      </c>
      <c r="AF502" s="51" t="e">
        <f t="shared" si="434"/>
        <v>#NUM!</v>
      </c>
      <c r="AG502" s="51" t="str">
        <f t="shared" si="416"/>
        <v>1-3260.17664364725i</v>
      </c>
      <c r="AH502" s="51">
        <f t="shared" si="435"/>
        <v>3260.1767970131696</v>
      </c>
      <c r="AI502" s="51">
        <f t="shared" si="436"/>
        <v>-1.5704895949585751</v>
      </c>
      <c r="AJ502" s="51" t="str">
        <f t="shared" si="417"/>
        <v>1+4.34690219152965i</v>
      </c>
      <c r="AK502" s="51">
        <f t="shared" si="437"/>
        <v>4.4604437741916749</v>
      </c>
      <c r="AL502" s="51">
        <f t="shared" si="438"/>
        <v>1.3446815109030295</v>
      </c>
      <c r="AM502" s="51" t="e">
        <f t="shared" si="418"/>
        <v>#NUM!</v>
      </c>
      <c r="AN502" s="51" t="e">
        <f t="shared" si="439"/>
        <v>#NUM!</v>
      </c>
      <c r="AO502" s="51" t="e">
        <f t="shared" si="440"/>
        <v>#NUM!</v>
      </c>
      <c r="AP502" s="60" t="e">
        <f t="shared" si="441"/>
        <v>#NUM!</v>
      </c>
      <c r="AQ502" s="51" t="e">
        <f t="shared" si="442"/>
        <v>#NUM!</v>
      </c>
      <c r="AR502" s="63" t="e">
        <f t="shared" si="443"/>
        <v>#NUM!</v>
      </c>
      <c r="AS502" s="32" t="str">
        <f t="shared" si="419"/>
        <v>-0.000170731707317073</v>
      </c>
      <c r="AT502" s="32" t="str">
        <f t="shared" si="420"/>
        <v>0.165182283278127i</v>
      </c>
      <c r="AU502" s="32">
        <f t="shared" si="444"/>
        <v>0.16518228327812701</v>
      </c>
      <c r="AV502" s="32">
        <f t="shared" si="445"/>
        <v>1.5707963267948966</v>
      </c>
      <c r="AW502" s="32" t="str">
        <f t="shared" si="421"/>
        <v>1+35.1687265727335i</v>
      </c>
      <c r="AX502" s="32">
        <f t="shared" si="446"/>
        <v>35.182940876903558</v>
      </c>
      <c r="AY502" s="32">
        <f t="shared" si="447"/>
        <v>1.5423696328557699</v>
      </c>
      <c r="AZ502" s="32" t="str">
        <f t="shared" si="422"/>
        <v>1+668.205804881938i</v>
      </c>
      <c r="BA502" s="32">
        <f t="shared" si="448"/>
        <v>668.20655315397687</v>
      </c>
      <c r="BB502" s="32">
        <f t="shared" si="449"/>
        <v>1.5692997829963453</v>
      </c>
      <c r="BC502" s="60" t="str">
        <f t="shared" si="450"/>
        <v>-0.000528585918780925+0.0196232894059491i</v>
      </c>
      <c r="BD502" s="51">
        <f t="shared" si="451"/>
        <v>-34.141413794160172</v>
      </c>
      <c r="BE502" s="63">
        <f t="shared" si="452"/>
        <v>91.542983944708595</v>
      </c>
      <c r="BF502" s="60" t="str">
        <f t="shared" si="453"/>
        <v>-0.000485594796783999-0.00169818988622209i</v>
      </c>
      <c r="BG502" s="66">
        <f t="shared" si="454"/>
        <v>-55.058939611024257</v>
      </c>
      <c r="BH502" s="63">
        <f t="shared" si="455"/>
        <v>-105.95780015058973</v>
      </c>
      <c r="BI502" s="60" t="e">
        <f t="shared" si="460"/>
        <v>#NUM!</v>
      </c>
      <c r="BJ502" s="66" t="e">
        <f t="shared" si="456"/>
        <v>#NUM!</v>
      </c>
      <c r="BK502" s="63" t="e">
        <f t="shared" si="461"/>
        <v>#NUM!</v>
      </c>
      <c r="BL502" s="51">
        <f t="shared" si="457"/>
        <v>-55.058939611024257</v>
      </c>
      <c r="BM502" s="63">
        <f t="shared" si="458"/>
        <v>-105.95780015058973</v>
      </c>
    </row>
    <row r="503" spans="14:65" x14ac:dyDescent="0.3">
      <c r="N503" s="11">
        <v>85</v>
      </c>
      <c r="O503" s="52">
        <f t="shared" si="459"/>
        <v>707945.78438413853</v>
      </c>
      <c r="P503" s="50" t="str">
        <f t="shared" si="411"/>
        <v>23.3035714285714</v>
      </c>
      <c r="Q503" s="18" t="str">
        <f t="shared" si="412"/>
        <v>1+2382.93993788686i</v>
      </c>
      <c r="R503" s="18">
        <f t="shared" si="423"/>
        <v>2382.9401477116949</v>
      </c>
      <c r="S503" s="18">
        <f t="shared" si="424"/>
        <v>1.5703766771321424</v>
      </c>
      <c r="T503" s="18" t="str">
        <f t="shared" si="413"/>
        <v>1+4.44815455072215i</v>
      </c>
      <c r="U503" s="18">
        <f t="shared" si="425"/>
        <v>4.5591752441763163</v>
      </c>
      <c r="V503" s="18">
        <f t="shared" si="426"/>
        <v>1.3496605162245363</v>
      </c>
      <c r="W503" s="32" t="str">
        <f t="shared" si="414"/>
        <v>1-10.873266679543i</v>
      </c>
      <c r="X503" s="18">
        <f t="shared" si="427"/>
        <v>10.919154192722992</v>
      </c>
      <c r="Y503" s="18">
        <f t="shared" si="428"/>
        <v>-1.479085634959922</v>
      </c>
      <c r="Z503" s="32" t="str">
        <f t="shared" si="415"/>
        <v>-1.0047489345091+5.33656221836513i</v>
      </c>
      <c r="AA503" s="18">
        <f t="shared" si="429"/>
        <v>5.4303238146430388</v>
      </c>
      <c r="AB503" s="18">
        <f t="shared" si="430"/>
        <v>1.7568942411895825</v>
      </c>
      <c r="AC503" s="68" t="str">
        <f t="shared" si="431"/>
        <v>-0.0852377139440485+0.0277844098349167i</v>
      </c>
      <c r="AD503" s="66">
        <f t="shared" si="432"/>
        <v>-20.948821853998897</v>
      </c>
      <c r="AE503" s="63">
        <f t="shared" si="433"/>
        <v>161.94590601703035</v>
      </c>
      <c r="AF503" s="51" t="e">
        <f t="shared" si="434"/>
        <v>#NUM!</v>
      </c>
      <c r="AG503" s="51" t="str">
        <f t="shared" si="416"/>
        <v>1-3336.11591304162i</v>
      </c>
      <c r="AH503" s="51">
        <f t="shared" si="435"/>
        <v>3336.1160629165047</v>
      </c>
      <c r="AI503" s="51">
        <f t="shared" si="436"/>
        <v>-1.5704965770271679</v>
      </c>
      <c r="AJ503" s="51" t="str">
        <f t="shared" si="417"/>
        <v>1+4.44815455072215i</v>
      </c>
      <c r="AK503" s="51">
        <f t="shared" si="437"/>
        <v>4.5591752441763163</v>
      </c>
      <c r="AL503" s="51">
        <f t="shared" si="438"/>
        <v>1.3496605162245363</v>
      </c>
      <c r="AM503" s="51" t="e">
        <f t="shared" si="418"/>
        <v>#NUM!</v>
      </c>
      <c r="AN503" s="51" t="e">
        <f t="shared" si="439"/>
        <v>#NUM!</v>
      </c>
      <c r="AO503" s="51" t="e">
        <f t="shared" si="440"/>
        <v>#NUM!</v>
      </c>
      <c r="AP503" s="60" t="e">
        <f t="shared" si="441"/>
        <v>#NUM!</v>
      </c>
      <c r="AQ503" s="51" t="e">
        <f t="shared" si="442"/>
        <v>#NUM!</v>
      </c>
      <c r="AR503" s="63" t="e">
        <f t="shared" si="443"/>
        <v>#NUM!</v>
      </c>
      <c r="AS503" s="32" t="str">
        <f t="shared" si="419"/>
        <v>-0.000170731707317073</v>
      </c>
      <c r="AT503" s="32" t="str">
        <f t="shared" si="420"/>
        <v>0.169029872927442i</v>
      </c>
      <c r="AU503" s="32">
        <f t="shared" si="444"/>
        <v>0.16902987292744201</v>
      </c>
      <c r="AV503" s="32">
        <f t="shared" si="445"/>
        <v>1.5707963267948966</v>
      </c>
      <c r="AW503" s="32" t="str">
        <f t="shared" si="421"/>
        <v>1+35.9879114493162i</v>
      </c>
      <c r="AX503" s="32">
        <f t="shared" si="446"/>
        <v>36.001802322714674</v>
      </c>
      <c r="AY503" s="32">
        <f t="shared" si="447"/>
        <v>1.5430163666793733</v>
      </c>
      <c r="AZ503" s="32" t="str">
        <f t="shared" si="422"/>
        <v>1+683.770317537009i</v>
      </c>
      <c r="BA503" s="32">
        <f t="shared" si="448"/>
        <v>683.7710487763153</v>
      </c>
      <c r="BB503" s="32">
        <f t="shared" si="449"/>
        <v>1.5693338484430222</v>
      </c>
      <c r="BC503" s="60" t="str">
        <f t="shared" si="450"/>
        <v>-0.000504813988374807+0.0191772693582905i</v>
      </c>
      <c r="BD503" s="51">
        <f t="shared" si="451"/>
        <v>-34.341256321074411</v>
      </c>
      <c r="BE503" s="63">
        <f t="shared" si="452"/>
        <v>91.507880632469593</v>
      </c>
      <c r="BF503" s="60" t="str">
        <f t="shared" si="453"/>
        <v>-0.000489799921029287-0.00164865255853334i</v>
      </c>
      <c r="BG503" s="66">
        <f t="shared" si="454"/>
        <v>-55.29007817507329</v>
      </c>
      <c r="BH503" s="63">
        <f t="shared" si="455"/>
        <v>-106.54621335049998</v>
      </c>
      <c r="BI503" s="60" t="e">
        <f t="shared" si="460"/>
        <v>#NUM!</v>
      </c>
      <c r="BJ503" s="66" t="e">
        <f t="shared" si="456"/>
        <v>#NUM!</v>
      </c>
      <c r="BK503" s="63" t="e">
        <f t="shared" si="461"/>
        <v>#NUM!</v>
      </c>
      <c r="BL503" s="51">
        <f t="shared" si="457"/>
        <v>-55.29007817507329</v>
      </c>
      <c r="BM503" s="63">
        <f t="shared" si="458"/>
        <v>-106.54621335049998</v>
      </c>
    </row>
    <row r="504" spans="14:65" x14ac:dyDescent="0.3">
      <c r="N504" s="11">
        <v>86</v>
      </c>
      <c r="O504" s="52">
        <f t="shared" si="459"/>
        <v>724435.96007499192</v>
      </c>
      <c r="P504" s="50" t="str">
        <f t="shared" si="411"/>
        <v>23.3035714285714</v>
      </c>
      <c r="Q504" s="18" t="str">
        <f t="shared" si="412"/>
        <v>1+2438.44573946557i</v>
      </c>
      <c r="R504" s="18">
        <f t="shared" si="423"/>
        <v>2438.4459445142088</v>
      </c>
      <c r="S504" s="18">
        <f t="shared" si="424"/>
        <v>1.570386229523608</v>
      </c>
      <c r="T504" s="18" t="str">
        <f t="shared" si="413"/>
        <v>1+4.55176538033573i</v>
      </c>
      <c r="U504" s="18">
        <f t="shared" si="425"/>
        <v>4.6603184523831489</v>
      </c>
      <c r="V504" s="18">
        <f t="shared" si="426"/>
        <v>1.3545369798865285</v>
      </c>
      <c r="W504" s="32" t="str">
        <f t="shared" si="414"/>
        <v>1-11.1265375963762i</v>
      </c>
      <c r="X504" s="18">
        <f t="shared" si="427"/>
        <v>11.171384823895966</v>
      </c>
      <c r="Y504" s="18">
        <f t="shared" si="428"/>
        <v>-1.48116193266228</v>
      </c>
      <c r="Z504" s="32" t="str">
        <f t="shared" si="415"/>
        <v>-1.09922984099911+5.46086672092328i</v>
      </c>
      <c r="AA504" s="18">
        <f t="shared" si="429"/>
        <v>5.5704013847325493</v>
      </c>
      <c r="AB504" s="18">
        <f t="shared" si="430"/>
        <v>1.7694340711330934</v>
      </c>
      <c r="AC504" s="68" t="str">
        <f t="shared" si="431"/>
        <v>-0.084647733262783+0.0285079708135572i</v>
      </c>
      <c r="AD504" s="66">
        <f t="shared" si="432"/>
        <v>-20.981090629469637</v>
      </c>
      <c r="AE504" s="63">
        <f t="shared" si="433"/>
        <v>161.38731706516344</v>
      </c>
      <c r="AF504" s="51" t="e">
        <f t="shared" si="434"/>
        <v>#NUM!</v>
      </c>
      <c r="AG504" s="51" t="str">
        <f t="shared" si="416"/>
        <v>1-3413.82403525181i</v>
      </c>
      <c r="AH504" s="51">
        <f t="shared" si="435"/>
        <v>3413.8241817151261</v>
      </c>
      <c r="AI504" s="51">
        <f t="shared" si="436"/>
        <v>-1.5705034001645044</v>
      </c>
      <c r="AJ504" s="51" t="str">
        <f t="shared" si="417"/>
        <v>1+4.55176538033573i</v>
      </c>
      <c r="AK504" s="51">
        <f t="shared" si="437"/>
        <v>4.6603184523831489</v>
      </c>
      <c r="AL504" s="51">
        <f t="shared" si="438"/>
        <v>1.3545369798865285</v>
      </c>
      <c r="AM504" s="51" t="e">
        <f t="shared" si="418"/>
        <v>#NUM!</v>
      </c>
      <c r="AN504" s="51" t="e">
        <f t="shared" si="439"/>
        <v>#NUM!</v>
      </c>
      <c r="AO504" s="51" t="e">
        <f t="shared" si="440"/>
        <v>#NUM!</v>
      </c>
      <c r="AP504" s="60" t="e">
        <f>(IMDIV(IMPRODUCT(AF504,AJ504,AM504),IMPRODUCT(AG504)))</f>
        <v>#NUM!</v>
      </c>
      <c r="AQ504" s="51" t="e">
        <f t="shared" si="442"/>
        <v>#NUM!</v>
      </c>
      <c r="AR504" s="63" t="e">
        <f t="shared" si="443"/>
        <v>#NUM!</v>
      </c>
      <c r="AS504" s="32" t="str">
        <f t="shared" si="419"/>
        <v>-0.000170731707317073</v>
      </c>
      <c r="AT504" s="32" t="str">
        <f t="shared" si="420"/>
        <v>0.172967084452758i</v>
      </c>
      <c r="AU504" s="32">
        <f t="shared" si="444"/>
        <v>0.17296708445275799</v>
      </c>
      <c r="AV504" s="32">
        <f t="shared" si="445"/>
        <v>1.5707963267948966</v>
      </c>
      <c r="AW504" s="32" t="str">
        <f t="shared" si="421"/>
        <v>1+36.8261775929057i</v>
      </c>
      <c r="AX504" s="32">
        <f t="shared" si="446"/>
        <v>36.839752389290432</v>
      </c>
      <c r="AY504" s="32">
        <f t="shared" si="447"/>
        <v>1.5436484015056906</v>
      </c>
      <c r="AZ504" s="32" t="str">
        <f t="shared" si="422"/>
        <v>1+699.697374265209i</v>
      </c>
      <c r="BA504" s="32">
        <f t="shared" si="448"/>
        <v>699.69808885949374</v>
      </c>
      <c r="BB504" s="32">
        <f t="shared" si="449"/>
        <v>1.5693671384687431</v>
      </c>
      <c r="BC504" s="60" t="str">
        <f t="shared" si="450"/>
        <v>-0.000482110357242496+0.0187413579211636i</v>
      </c>
      <c r="BD504" s="51">
        <f t="shared" si="451"/>
        <v>-34.541105930084882</v>
      </c>
      <c r="BE504" s="63">
        <f t="shared" si="452"/>
        <v>91.473575082390013</v>
      </c>
      <c r="BF504" s="60" t="str">
        <f t="shared" si="453"/>
        <v>-0.000493468535699873-0.00160015745428618i</v>
      </c>
      <c r="BG504" s="66">
        <f t="shared" si="454"/>
        <v>-55.522196559554544</v>
      </c>
      <c r="BH504" s="63">
        <f t="shared" si="455"/>
        <v>-107.13910785244657</v>
      </c>
      <c r="BI504" s="60" t="e">
        <f t="shared" si="460"/>
        <v>#NUM!</v>
      </c>
      <c r="BJ504" s="66" t="e">
        <f t="shared" si="456"/>
        <v>#NUM!</v>
      </c>
      <c r="BK504" s="63" t="e">
        <f t="shared" si="461"/>
        <v>#NUM!</v>
      </c>
      <c r="BL504" s="51">
        <f t="shared" si="457"/>
        <v>-55.522196559554544</v>
      </c>
      <c r="BM504" s="63">
        <f t="shared" si="458"/>
        <v>-107.13910785244657</v>
      </c>
    </row>
    <row r="505" spans="14:65" x14ac:dyDescent="0.3">
      <c r="N505" s="11">
        <v>87</v>
      </c>
      <c r="O505" s="52">
        <f t="shared" si="459"/>
        <v>741310.24130091805</v>
      </c>
      <c r="P505" s="50" t="str">
        <f t="shared" si="411"/>
        <v>23.3035714285714</v>
      </c>
      <c r="Q505" s="18" t="str">
        <f t="shared" si="412"/>
        <v>1+2495.24443725197i</v>
      </c>
      <c r="R505" s="18">
        <f t="shared" si="423"/>
        <v>2495.2446376331318</v>
      </c>
      <c r="S505" s="18">
        <f t="shared" si="424"/>
        <v>1.5703955644761698</v>
      </c>
      <c r="T505" s="18" t="str">
        <f t="shared" si="413"/>
        <v>1+4.65778961620368i</v>
      </c>
      <c r="U505" s="18">
        <f t="shared" si="425"/>
        <v>4.7639273828234225</v>
      </c>
      <c r="V505" s="18">
        <f t="shared" si="426"/>
        <v>1.3593125593375541</v>
      </c>
      <c r="W505" s="32" t="str">
        <f t="shared" si="414"/>
        <v>1-11.3857079507201i</v>
      </c>
      <c r="X505" s="18">
        <f t="shared" si="427"/>
        <v>11.42953829072246</v>
      </c>
      <c r="Y505" s="18">
        <f t="shared" si="428"/>
        <v>-1.4831917171139801</v>
      </c>
      <c r="Z505" s="32" t="str">
        <f t="shared" si="415"/>
        <v>-1.1981634954305+5.58806664729996i</v>
      </c>
      <c r="AA505" s="18">
        <f t="shared" si="429"/>
        <v>5.7150752065435197</v>
      </c>
      <c r="AB505" s="18">
        <f t="shared" si="430"/>
        <v>1.7820129560184026</v>
      </c>
      <c r="AC505" s="68" t="str">
        <f t="shared" si="431"/>
        <v>-0.0840403841278001+0.0292274989366614i</v>
      </c>
      <c r="AD505" s="66">
        <f t="shared" si="432"/>
        <v>-21.014375525833543</v>
      </c>
      <c r="AE505" s="63">
        <f t="shared" si="433"/>
        <v>160.82338766174001</v>
      </c>
      <c r="AF505" s="51" t="e">
        <f t="shared" si="434"/>
        <v>#NUM!</v>
      </c>
      <c r="AG505" s="51" t="str">
        <f t="shared" si="416"/>
        <v>1-3493.34221215277i</v>
      </c>
      <c r="AH505" s="51">
        <f t="shared" si="435"/>
        <v>3493.3423552821741</v>
      </c>
      <c r="AI505" s="51">
        <f t="shared" si="436"/>
        <v>-1.5705100679882997</v>
      </c>
      <c r="AJ505" s="51" t="str">
        <f t="shared" si="417"/>
        <v>1+4.65778961620368i</v>
      </c>
      <c r="AK505" s="51">
        <f t="shared" si="437"/>
        <v>4.7639273828234225</v>
      </c>
      <c r="AL505" s="51">
        <f t="shared" si="438"/>
        <v>1.3593125593375541</v>
      </c>
      <c r="AM505" s="51" t="e">
        <f t="shared" si="418"/>
        <v>#NUM!</v>
      </c>
      <c r="AN505" s="51" t="e">
        <f t="shared" si="439"/>
        <v>#NUM!</v>
      </c>
      <c r="AO505" s="51" t="e">
        <f t="shared" si="440"/>
        <v>#NUM!</v>
      </c>
      <c r="AP505" s="60" t="e">
        <f t="shared" si="441"/>
        <v>#NUM!</v>
      </c>
      <c r="AQ505" s="51" t="e">
        <f t="shared" si="442"/>
        <v>#NUM!</v>
      </c>
      <c r="AR505" s="63" t="e">
        <f t="shared" si="443"/>
        <v>#NUM!</v>
      </c>
      <c r="AS505" s="32" t="str">
        <f t="shared" si="419"/>
        <v>-0.000170731707317073</v>
      </c>
      <c r="AT505" s="32" t="str">
        <f t="shared" si="420"/>
        <v>0.17699600541574i</v>
      </c>
      <c r="AU505" s="32">
        <f t="shared" si="444"/>
        <v>0.17699600541574001</v>
      </c>
      <c r="AV505" s="32">
        <f t="shared" si="445"/>
        <v>1.5707963267948966</v>
      </c>
      <c r="AW505" s="32" t="str">
        <f t="shared" si="421"/>
        <v>1+37.6839694633068i</v>
      </c>
      <c r="AX505" s="32">
        <f t="shared" si="446"/>
        <v>37.697235369605551</v>
      </c>
      <c r="AY505" s="32">
        <f t="shared" si="447"/>
        <v>1.5442660704269746</v>
      </c>
      <c r="AZ505" s="32" t="str">
        <f t="shared" si="422"/>
        <v>1+715.99541980283i</v>
      </c>
      <c r="BA505" s="32">
        <f t="shared" si="448"/>
        <v>715.99611813097897</v>
      </c>
      <c r="BB505" s="32">
        <f t="shared" si="449"/>
        <v>1.569399670724025</v>
      </c>
      <c r="BC505" s="60" t="str">
        <f t="shared" si="450"/>
        <v>-0.000460427085843227+0.0183153279295703i</v>
      </c>
      <c r="BD505" s="51">
        <f t="shared" si="451"/>
        <v>-34.740962302916174</v>
      </c>
      <c r="BE505" s="63">
        <f t="shared" si="452"/>
        <v>91.440049220989749</v>
      </c>
      <c r="BF505" s="60" t="str">
        <f t="shared" si="453"/>
        <v>-0.000496616758429012-0.00155268432678961i</v>
      </c>
      <c r="BG505" s="66">
        <f t="shared" si="454"/>
        <v>-55.755337828749703</v>
      </c>
      <c r="BH505" s="63">
        <f t="shared" si="455"/>
        <v>-107.73656311727021</v>
      </c>
      <c r="BI505" s="60" t="e">
        <f t="shared" si="460"/>
        <v>#NUM!</v>
      </c>
      <c r="BJ505" s="66" t="e">
        <f t="shared" si="456"/>
        <v>#NUM!</v>
      </c>
      <c r="BK505" s="63" t="e">
        <f t="shared" si="461"/>
        <v>#NUM!</v>
      </c>
      <c r="BL505" s="51">
        <f t="shared" si="457"/>
        <v>-55.755337828749703</v>
      </c>
      <c r="BM505" s="63">
        <f t="shared" si="458"/>
        <v>-107.73656311727021</v>
      </c>
    </row>
    <row r="506" spans="14:65" x14ac:dyDescent="0.3">
      <c r="N506" s="11">
        <v>88</v>
      </c>
      <c r="O506" s="52">
        <f t="shared" si="459"/>
        <v>758577.57502918423</v>
      </c>
      <c r="P506" s="50" t="str">
        <f t="shared" si="411"/>
        <v>23.3035714285714</v>
      </c>
      <c r="Q506" s="18" t="str">
        <f t="shared" si="412"/>
        <v>1+2553.36614666747i</v>
      </c>
      <c r="R506" s="18">
        <f t="shared" si="423"/>
        <v>2553.3663424874003</v>
      </c>
      <c r="S506" s="18">
        <f t="shared" si="424"/>
        <v>1.5704046869393367</v>
      </c>
      <c r="T506" s="18" t="str">
        <f t="shared" si="413"/>
        <v>1+4.76628347377929i</v>
      </c>
      <c r="U506" s="18">
        <f t="shared" si="425"/>
        <v>4.8700573048396034</v>
      </c>
      <c r="V506" s="18">
        <f t="shared" si="426"/>
        <v>1.363988914950925</v>
      </c>
      <c r="W506" s="32" t="str">
        <f t="shared" si="414"/>
        <v>1-11.6509151581272i</v>
      </c>
      <c r="X506" s="18">
        <f t="shared" si="427"/>
        <v>11.693751494788922</v>
      </c>
      <c r="Y506" s="18">
        <f t="shared" si="428"/>
        <v>-1.4851759975944505</v>
      </c>
      <c r="Z506" s="32" t="str">
        <f t="shared" si="415"/>
        <v>-1.30175974934864+5.71822944057986i</v>
      </c>
      <c r="AA506" s="18">
        <f t="shared" si="429"/>
        <v>5.8645312157186513</v>
      </c>
      <c r="AB506" s="18">
        <f t="shared" si="430"/>
        <v>1.7946324422271824</v>
      </c>
      <c r="AC506" s="68" t="str">
        <f t="shared" si="431"/>
        <v>-0.0834153354872495+0.0299424828068377i</v>
      </c>
      <c r="AD506" s="66">
        <f t="shared" si="432"/>
        <v>-21.048720303044686</v>
      </c>
      <c r="AE506" s="63">
        <f t="shared" si="433"/>
        <v>160.25406622696249</v>
      </c>
      <c r="AF506" s="51" t="e">
        <f t="shared" si="434"/>
        <v>#NUM!</v>
      </c>
      <c r="AG506" s="51" t="str">
        <f t="shared" si="416"/>
        <v>1-3574.71260533448i</v>
      </c>
      <c r="AH506" s="51">
        <f t="shared" si="435"/>
        <v>3574.7127452058617</v>
      </c>
      <c r="AI506" s="51">
        <f t="shared" si="436"/>
        <v>-1.5705165840339199</v>
      </c>
      <c r="AJ506" s="51" t="str">
        <f t="shared" si="417"/>
        <v>1+4.76628347377929i</v>
      </c>
      <c r="AK506" s="51">
        <f t="shared" si="437"/>
        <v>4.8700573048396034</v>
      </c>
      <c r="AL506" s="51">
        <f t="shared" si="438"/>
        <v>1.363988914950925</v>
      </c>
      <c r="AM506" s="51" t="e">
        <f t="shared" si="418"/>
        <v>#NUM!</v>
      </c>
      <c r="AN506" s="51" t="e">
        <f t="shared" si="439"/>
        <v>#NUM!</v>
      </c>
      <c r="AO506" s="51" t="e">
        <f t="shared" si="440"/>
        <v>#NUM!</v>
      </c>
      <c r="AP506" s="60" t="e">
        <f t="shared" si="441"/>
        <v>#NUM!</v>
      </c>
      <c r="AQ506" s="51" t="e">
        <f t="shared" si="442"/>
        <v>#NUM!</v>
      </c>
      <c r="AR506" s="63" t="e">
        <f t="shared" si="443"/>
        <v>#NUM!</v>
      </c>
      <c r="AS506" s="32" t="str">
        <f t="shared" si="419"/>
        <v>-0.000170731707317073</v>
      </c>
      <c r="AT506" s="32" t="str">
        <f t="shared" si="420"/>
        <v>0.181118772003613i</v>
      </c>
      <c r="AU506" s="32">
        <f t="shared" si="444"/>
        <v>0.18111877200361301</v>
      </c>
      <c r="AV506" s="32">
        <f t="shared" si="445"/>
        <v>1.5707963267948966</v>
      </c>
      <c r="AW506" s="32" t="str">
        <f t="shared" si="421"/>
        <v>1+38.5617418731238i</v>
      </c>
      <c r="AX506" s="32">
        <f t="shared" si="446"/>
        <v>38.574705913194329</v>
      </c>
      <c r="AY506" s="32">
        <f t="shared" si="447"/>
        <v>1.5448696990531847</v>
      </c>
      <c r="AZ506" s="32" t="str">
        <f t="shared" si="422"/>
        <v>1+732.673095589353i</v>
      </c>
      <c r="BA506" s="32">
        <f t="shared" si="448"/>
        <v>732.67377802162753</v>
      </c>
      <c r="BB506" s="32">
        <f t="shared" si="449"/>
        <v>1.5694314624576249</v>
      </c>
      <c r="BC506" s="60" t="str">
        <f t="shared" si="450"/>
        <v>-0.000439718379809767+0.0178989571940335i</v>
      </c>
      <c r="BD506" s="51">
        <f t="shared" si="451"/>
        <v>-34.940825135576013</v>
      </c>
      <c r="BE506" s="63">
        <f t="shared" si="452"/>
        <v>91.407285380473297</v>
      </c>
      <c r="BF506" s="60" t="str">
        <f t="shared" si="453"/>
        <v>-0.000499259961870931-0.00150621377923953i</v>
      </c>
      <c r="BG506" s="66">
        <f t="shared" si="454"/>
        <v>-55.989545438620674</v>
      </c>
      <c r="BH506" s="63">
        <f t="shared" si="455"/>
        <v>-108.33864839256418</v>
      </c>
      <c r="BI506" s="60" t="e">
        <f t="shared" si="460"/>
        <v>#NUM!</v>
      </c>
      <c r="BJ506" s="66" t="e">
        <f t="shared" si="456"/>
        <v>#NUM!</v>
      </c>
      <c r="BK506" s="63" t="e">
        <f t="shared" si="461"/>
        <v>#NUM!</v>
      </c>
      <c r="BL506" s="51">
        <f t="shared" si="457"/>
        <v>-55.989545438620674</v>
      </c>
      <c r="BM506" s="63">
        <f t="shared" si="458"/>
        <v>-108.33864839256418</v>
      </c>
    </row>
    <row r="507" spans="14:65" x14ac:dyDescent="0.3">
      <c r="N507" s="11">
        <v>89</v>
      </c>
      <c r="O507" s="52">
        <f t="shared" si="459"/>
        <v>776247.11662869214</v>
      </c>
      <c r="P507" s="50" t="str">
        <f t="shared" si="411"/>
        <v>23.3035714285714</v>
      </c>
      <c r="Q507" s="18" t="str">
        <f t="shared" si="412"/>
        <v>1+2612.84168461174i</v>
      </c>
      <c r="R507" s="18">
        <f t="shared" si="423"/>
        <v>2612.8418759742649</v>
      </c>
      <c r="S507" s="18">
        <f t="shared" si="424"/>
        <v>1.5704136017499528</v>
      </c>
      <c r="T507" s="18" t="str">
        <f t="shared" si="413"/>
        <v>1+4.87730447794192i</v>
      </c>
      <c r="U507" s="18">
        <f t="shared" si="425"/>
        <v>4.9787648036990371</v>
      </c>
      <c r="V507" s="18">
        <f t="shared" si="426"/>
        <v>1.3685677077001581</v>
      </c>
      <c r="W507" s="32" t="str">
        <f t="shared" si="414"/>
        <v>1-11.9222998349691i</v>
      </c>
      <c r="X507" s="18">
        <f t="shared" si="427"/>
        <v>11.964164548973081</v>
      </c>
      <c r="Y507" s="18">
        <f t="shared" si="428"/>
        <v>-1.487115763658033</v>
      </c>
      <c r="Z507" s="32" t="str">
        <f t="shared" si="415"/>
        <v>-1.41023834429744+5.85142411479887i</v>
      </c>
      <c r="AA507" s="18">
        <f t="shared" si="429"/>
        <v>6.0189647248489937</v>
      </c>
      <c r="AB507" s="18">
        <f t="shared" si="430"/>
        <v>1.8072939194738371</v>
      </c>
      <c r="AC507" s="68" t="str">
        <f t="shared" si="431"/>
        <v>-0.0827722800002757+0.0306523781871139i</v>
      </c>
      <c r="AD507" s="66">
        <f t="shared" si="432"/>
        <v>-21.084169061749254</v>
      </c>
      <c r="AE507" s="63">
        <f t="shared" si="433"/>
        <v>159.67931132841488</v>
      </c>
      <c r="AF507" s="51" t="e">
        <f t="shared" si="434"/>
        <v>#NUM!</v>
      </c>
      <c r="AG507" s="51" t="str">
        <f t="shared" si="416"/>
        <v>1-3657.97835845645i</v>
      </c>
      <c r="AH507" s="51">
        <f t="shared" si="435"/>
        <v>3657.9784951439706</v>
      </c>
      <c r="AI507" s="51">
        <f t="shared" si="436"/>
        <v>-1.5705229517562562</v>
      </c>
      <c r="AJ507" s="51" t="str">
        <f t="shared" si="417"/>
        <v>1+4.87730447794192i</v>
      </c>
      <c r="AK507" s="51">
        <f t="shared" si="437"/>
        <v>4.9787648036990371</v>
      </c>
      <c r="AL507" s="51">
        <f t="shared" si="438"/>
        <v>1.3685677077001581</v>
      </c>
      <c r="AM507" s="51" t="e">
        <f t="shared" si="418"/>
        <v>#NUM!</v>
      </c>
      <c r="AN507" s="51" t="e">
        <f t="shared" si="439"/>
        <v>#NUM!</v>
      </c>
      <c r="AO507" s="51" t="e">
        <f t="shared" si="440"/>
        <v>#NUM!</v>
      </c>
      <c r="AP507" s="60" t="e">
        <f t="shared" si="441"/>
        <v>#NUM!</v>
      </c>
      <c r="AQ507" s="51" t="e">
        <f t="shared" si="442"/>
        <v>#NUM!</v>
      </c>
      <c r="AR507" s="63" t="e">
        <f t="shared" si="443"/>
        <v>#NUM!</v>
      </c>
      <c r="AS507" s="32" t="str">
        <f t="shared" si="419"/>
        <v>-0.000170731707317073</v>
      </c>
      <c r="AT507" s="32" t="str">
        <f t="shared" si="420"/>
        <v>0.185337570161793i</v>
      </c>
      <c r="AU507" s="32">
        <f t="shared" si="444"/>
        <v>0.185337570161793</v>
      </c>
      <c r="AV507" s="32">
        <f t="shared" si="445"/>
        <v>1.5707963267948966</v>
      </c>
      <c r="AW507" s="32" t="str">
        <f t="shared" si="421"/>
        <v>1+39.4599602289069i</v>
      </c>
      <c r="AX507" s="32">
        <f t="shared" si="446"/>
        <v>39.472629267213939</v>
      </c>
      <c r="AY507" s="32">
        <f t="shared" si="447"/>
        <v>1.5454596056756598</v>
      </c>
      <c r="AZ507" s="32" t="str">
        <f t="shared" si="422"/>
        <v>1+749.739244349232i</v>
      </c>
      <c r="BA507" s="32">
        <f t="shared" si="448"/>
        <v>749.73991124746544</v>
      </c>
      <c r="BB507" s="32">
        <f t="shared" si="449"/>
        <v>1.5694625305256833</v>
      </c>
      <c r="BC507" s="60" t="str">
        <f t="shared" si="450"/>
        <v>-0.000419940494493641+0.0174920284003249i</v>
      </c>
      <c r="BD507" s="51">
        <f t="shared" si="451"/>
        <v>-35.140694137716281</v>
      </c>
      <c r="BE507" s="63">
        <f t="shared" si="452"/>
        <v>91.375266289876038</v>
      </c>
      <c r="BF507" s="60" t="str">
        <f t="shared" si="453"/>
        <v>-0.000501412837592814-0.00146072724737777i</v>
      </c>
      <c r="BG507" s="66">
        <f t="shared" si="454"/>
        <v>-56.224863199465538</v>
      </c>
      <c r="BH507" s="63">
        <f t="shared" si="455"/>
        <v>-108.94542238170908</v>
      </c>
      <c r="BI507" s="60" t="e">
        <f t="shared" si="460"/>
        <v>#NUM!</v>
      </c>
      <c r="BJ507" s="66" t="e">
        <f t="shared" si="456"/>
        <v>#NUM!</v>
      </c>
      <c r="BK507" s="63" t="e">
        <f t="shared" si="461"/>
        <v>#NUM!</v>
      </c>
      <c r="BL507" s="51">
        <f t="shared" si="457"/>
        <v>-56.224863199465538</v>
      </c>
      <c r="BM507" s="63">
        <f t="shared" si="458"/>
        <v>-108.94542238170908</v>
      </c>
    </row>
    <row r="508" spans="14:65" x14ac:dyDescent="0.3">
      <c r="N508" s="11">
        <v>90</v>
      </c>
      <c r="O508" s="52">
        <f t="shared" si="459"/>
        <v>794328.23472428333</v>
      </c>
      <c r="P508" s="50" t="str">
        <f t="shared" si="411"/>
        <v>23.3035714285714</v>
      </c>
      <c r="Q508" s="18" t="str">
        <f t="shared" si="412"/>
        <v>1+2673.70258580224i</v>
      </c>
      <c r="R508" s="18">
        <f t="shared" si="423"/>
        <v>2673.7027728088215</v>
      </c>
      <c r="S508" s="18">
        <f t="shared" si="424"/>
        <v>1.5704223136347637</v>
      </c>
      <c r="T508" s="18" t="str">
        <f t="shared" si="413"/>
        <v>1+4.99091149349752i</v>
      </c>
      <c r="U508" s="18">
        <f t="shared" si="425"/>
        <v>5.0901078118175098</v>
      </c>
      <c r="V508" s="18">
        <f t="shared" si="426"/>
        <v>1.3730505969934614</v>
      </c>
      <c r="W508" s="32" t="str">
        <f t="shared" si="414"/>
        <v>1-12.2000058729939i</v>
      </c>
      <c r="X508" s="18">
        <f t="shared" si="427"/>
        <v>12.240920851843036</v>
      </c>
      <c r="Y508" s="18">
        <f t="shared" si="428"/>
        <v>-1.4890119853719828</v>
      </c>
      <c r="Z508" s="32" t="str">
        <f t="shared" si="415"/>
        <v>-1.52382937792079+5.98772129153631i</v>
      </c>
      <c r="AA508" s="18">
        <f t="shared" si="429"/>
        <v>6.178580924300638</v>
      </c>
      <c r="AB508" s="18">
        <f t="shared" si="430"/>
        <v>1.8199986125322285</v>
      </c>
      <c r="AC508" s="68" t="str">
        <f t="shared" si="431"/>
        <v>-0.0821109363644436+0.0313566085965337i</v>
      </c>
      <c r="AD508" s="66">
        <f t="shared" si="432"/>
        <v>-21.120766201879434</v>
      </c>
      <c r="AE508" s="63">
        <f t="shared" si="433"/>
        <v>159.09909201722905</v>
      </c>
      <c r="AF508" s="51" t="e">
        <f t="shared" si="434"/>
        <v>#NUM!</v>
      </c>
      <c r="AG508" s="51" t="str">
        <f t="shared" si="416"/>
        <v>1-3743.18362012315i</v>
      </c>
      <c r="AH508" s="51">
        <f t="shared" si="435"/>
        <v>3743.1837536992825</v>
      </c>
      <c r="AI508" s="51">
        <f t="shared" si="436"/>
        <v>-1.5705291745315575</v>
      </c>
      <c r="AJ508" s="51" t="str">
        <f t="shared" si="417"/>
        <v>1+4.99091149349752i</v>
      </c>
      <c r="AK508" s="51">
        <f t="shared" si="437"/>
        <v>5.0901078118175098</v>
      </c>
      <c r="AL508" s="51">
        <f t="shared" si="438"/>
        <v>1.3730505969934614</v>
      </c>
      <c r="AM508" s="51" t="e">
        <f t="shared" si="418"/>
        <v>#NUM!</v>
      </c>
      <c r="AN508" s="51" t="e">
        <f t="shared" si="439"/>
        <v>#NUM!</v>
      </c>
      <c r="AO508" s="51" t="e">
        <f t="shared" si="440"/>
        <v>#NUM!</v>
      </c>
      <c r="AP508" s="60" t="e">
        <f t="shared" si="441"/>
        <v>#NUM!</v>
      </c>
      <c r="AQ508" s="51" t="e">
        <f t="shared" si="442"/>
        <v>#NUM!</v>
      </c>
      <c r="AR508" s="63" t="e">
        <f t="shared" si="443"/>
        <v>#NUM!</v>
      </c>
      <c r="AS508" s="32" t="str">
        <f t="shared" si="419"/>
        <v>-0.000170731707317073</v>
      </c>
      <c r="AT508" s="32" t="str">
        <f t="shared" si="420"/>
        <v>0.189654636752906i</v>
      </c>
      <c r="AU508" s="32">
        <f t="shared" si="444"/>
        <v>0.189654636752906</v>
      </c>
      <c r="AV508" s="32">
        <f t="shared" si="445"/>
        <v>1.5707963267948966</v>
      </c>
      <c r="AW508" s="32" t="str">
        <f t="shared" si="421"/>
        <v>1+40.3791007779178i</v>
      </c>
      <c r="AX508" s="32">
        <f t="shared" si="446"/>
        <v>40.391481523128633</v>
      </c>
      <c r="AY508" s="32">
        <f t="shared" si="447"/>
        <v>1.5460361014275066</v>
      </c>
      <c r="AZ508" s="32" t="str">
        <f t="shared" si="422"/>
        <v>1+767.202914780439i</v>
      </c>
      <c r="BA508" s="32">
        <f t="shared" si="448"/>
        <v>767.20356649822827</v>
      </c>
      <c r="BB508" s="32">
        <f t="shared" si="449"/>
        <v>1.5694928914006614</v>
      </c>
      <c r="BC508" s="60" t="str">
        <f t="shared" si="450"/>
        <v>-0.000401051643710536+0.0170943290106151i</v>
      </c>
      <c r="BD508" s="51">
        <f t="shared" si="451"/>
        <v>-35.340569032022351</v>
      </c>
      <c r="BE508" s="63">
        <f t="shared" si="452"/>
        <v>91.343975066386562</v>
      </c>
      <c r="BF508" s="60" t="str">
        <f t="shared" si="453"/>
        <v>-0.000503089458010658-0.00141620698100231i</v>
      </c>
      <c r="BG508" s="66">
        <f t="shared" si="454"/>
        <v>-56.461335233901764</v>
      </c>
      <c r="BH508" s="63">
        <f t="shared" si="455"/>
        <v>-109.55693291638435</v>
      </c>
      <c r="BI508" s="60" t="e">
        <f t="shared" si="460"/>
        <v>#NUM!</v>
      </c>
      <c r="BJ508" s="66" t="e">
        <f t="shared" si="456"/>
        <v>#NUM!</v>
      </c>
      <c r="BK508" s="63" t="e">
        <f t="shared" si="461"/>
        <v>#NUM!</v>
      </c>
      <c r="BL508" s="51">
        <f t="shared" si="457"/>
        <v>-56.461335233901764</v>
      </c>
      <c r="BM508" s="63">
        <f t="shared" si="458"/>
        <v>-109.55693291638435</v>
      </c>
    </row>
    <row r="509" spans="14:65" x14ac:dyDescent="0.3">
      <c r="N509" s="11">
        <v>91</v>
      </c>
      <c r="O509" s="52">
        <f t="shared" si="459"/>
        <v>812830.51616410096</v>
      </c>
      <c r="P509" s="50" t="str">
        <f t="shared" si="411"/>
        <v>23.3035714285714</v>
      </c>
      <c r="Q509" s="18" t="str">
        <f t="shared" si="412"/>
        <v>1+2735.98111949436i</v>
      </c>
      <c r="R509" s="18">
        <f t="shared" si="423"/>
        <v>2735.9813022441531</v>
      </c>
      <c r="S509" s="18">
        <f t="shared" si="424"/>
        <v>1.5704308272129204</v>
      </c>
      <c r="T509" s="18" t="str">
        <f t="shared" si="413"/>
        <v>1+5.10716475638948i</v>
      </c>
      <c r="U509" s="18">
        <f t="shared" si="425"/>
        <v>5.2041456406317854</v>
      </c>
      <c r="V509" s="18">
        <f t="shared" si="426"/>
        <v>1.3774392386607253</v>
      </c>
      <c r="W509" s="32" t="str">
        <f t="shared" si="414"/>
        <v>1-12.4841805156187i</v>
      </c>
      <c r="X509" s="18">
        <f t="shared" si="427"/>
        <v>12.524167163789919</v>
      </c>
      <c r="Y509" s="18">
        <f t="shared" si="428"/>
        <v>-1.4908656135624958</v>
      </c>
      <c r="Z509" s="32" t="str">
        <f t="shared" si="415"/>
        <v>-1.6427737920304+6.12719323735937i</v>
      </c>
      <c r="AA509" s="18">
        <f t="shared" si="429"/>
        <v>6.3435954079468475</v>
      </c>
      <c r="AB509" s="18">
        <f t="shared" si="430"/>
        <v>1.8327475732109293</v>
      </c>
      <c r="AC509" s="68" t="str">
        <f t="shared" si="431"/>
        <v>-0.0814310516888477+0.0320545660823555i</v>
      </c>
      <c r="AD509" s="66">
        <f t="shared" si="432"/>
        <v>-21.158556376422023</v>
      </c>
      <c r="AE509" s="63">
        <f t="shared" si="433"/>
        <v>158.51338815829087</v>
      </c>
      <c r="AF509" s="51" t="e">
        <f t="shared" si="434"/>
        <v>#NUM!</v>
      </c>
      <c r="AG509" s="51" t="str">
        <f t="shared" si="416"/>
        <v>1-3830.37356729212i</v>
      </c>
      <c r="AH509" s="51">
        <f t="shared" si="435"/>
        <v>3830.3736978276879</v>
      </c>
      <c r="AI509" s="51">
        <f t="shared" si="436"/>
        <v>-1.5705352556592196</v>
      </c>
      <c r="AJ509" s="51" t="str">
        <f t="shared" si="417"/>
        <v>1+5.10716475638948i</v>
      </c>
      <c r="AK509" s="51">
        <f t="shared" si="437"/>
        <v>5.2041456406317854</v>
      </c>
      <c r="AL509" s="51">
        <f t="shared" si="438"/>
        <v>1.3774392386607253</v>
      </c>
      <c r="AM509" s="51" t="e">
        <f t="shared" si="418"/>
        <v>#NUM!</v>
      </c>
      <c r="AN509" s="51" t="e">
        <f t="shared" si="439"/>
        <v>#NUM!</v>
      </c>
      <c r="AO509" s="51" t="e">
        <f t="shared" si="440"/>
        <v>#NUM!</v>
      </c>
      <c r="AP509" s="60" t="e">
        <f t="shared" si="441"/>
        <v>#NUM!</v>
      </c>
      <c r="AQ509" s="51" t="e">
        <f t="shared" si="442"/>
        <v>#NUM!</v>
      </c>
      <c r="AR509" s="63" t="e">
        <f t="shared" si="443"/>
        <v>#NUM!</v>
      </c>
      <c r="AS509" s="32" t="str">
        <f t="shared" si="419"/>
        <v>-0.000170731707317073</v>
      </c>
      <c r="AT509" s="32" t="str">
        <f t="shared" si="420"/>
        <v>0.1940722607428i</v>
      </c>
      <c r="AU509" s="32">
        <f t="shared" si="444"/>
        <v>0.19407226074280001</v>
      </c>
      <c r="AV509" s="32">
        <f t="shared" si="445"/>
        <v>1.5707963267948966</v>
      </c>
      <c r="AW509" s="32" t="str">
        <f t="shared" si="421"/>
        <v>1+41.3196508606416i</v>
      </c>
      <c r="AX509" s="32">
        <f t="shared" si="446"/>
        <v>41.331749869142008</v>
      </c>
      <c r="AY509" s="32">
        <f t="shared" si="447"/>
        <v>1.5465994904407505</v>
      </c>
      <c r="AZ509" s="32" t="str">
        <f t="shared" si="422"/>
        <v>1+785.073366352191i</v>
      </c>
      <c r="BA509" s="32">
        <f t="shared" si="448"/>
        <v>785.07400323508455</v>
      </c>
      <c r="BB509" s="32">
        <f t="shared" si="449"/>
        <v>1.5695225611800725</v>
      </c>
      <c r="BC509" s="60" t="str">
        <f t="shared" si="450"/>
        <v>-0.000383011912505371+0.0167056511660708i</v>
      </c>
      <c r="BD509" s="51">
        <f t="shared" si="451"/>
        <v>-35.540449553629102</v>
      </c>
      <c r="BE509" s="63">
        <f t="shared" si="452"/>
        <v>91.313395206842983</v>
      </c>
      <c r="BF509" s="60" t="str">
        <f t="shared" si="453"/>
        <v>-0.000504303336406926-0.0013726360242599i</v>
      </c>
      <c r="BG509" s="66">
        <f t="shared" si="454"/>
        <v>-56.699005930051143</v>
      </c>
      <c r="BH509" s="63">
        <f t="shared" si="455"/>
        <v>-110.17321663486617</v>
      </c>
      <c r="BI509" s="60" t="e">
        <f t="shared" si="460"/>
        <v>#NUM!</v>
      </c>
      <c r="BJ509" s="66" t="e">
        <f t="shared" si="456"/>
        <v>#NUM!</v>
      </c>
      <c r="BK509" s="63" t="e">
        <f t="shared" si="461"/>
        <v>#NUM!</v>
      </c>
      <c r="BL509" s="51">
        <f t="shared" si="457"/>
        <v>-56.699005930051143</v>
      </c>
      <c r="BM509" s="63">
        <f t="shared" si="458"/>
        <v>-110.17321663486617</v>
      </c>
    </row>
    <row r="510" spans="14:65" x14ac:dyDescent="0.3">
      <c r="N510" s="11">
        <v>92</v>
      </c>
      <c r="O510" s="52">
        <f t="shared" si="459"/>
        <v>831763.77110267128</v>
      </c>
      <c r="P510" s="50" t="str">
        <f t="shared" si="411"/>
        <v>23.3035714285714</v>
      </c>
      <c r="Q510" s="18" t="str">
        <f t="shared" si="412"/>
        <v>1+2799.71030659103i</v>
      </c>
      <c r="R510" s="18">
        <f t="shared" si="423"/>
        <v>2799.7104851809304</v>
      </c>
      <c r="S510" s="18">
        <f t="shared" si="424"/>
        <v>1.5704391469984298</v>
      </c>
      <c r="T510" s="18" t="str">
        <f t="shared" si="413"/>
        <v>1+5.22612590563659i</v>
      </c>
      <c r="U510" s="18">
        <f t="shared" si="425"/>
        <v>5.3209390131409959</v>
      </c>
      <c r="V510" s="18">
        <f t="shared" si="426"/>
        <v>1.3817352830864666</v>
      </c>
      <c r="W510" s="32" t="str">
        <f t="shared" si="414"/>
        <v>1-12.7749744360006i</v>
      </c>
      <c r="X510" s="18">
        <f t="shared" si="427"/>
        <v>12.814053684937834</v>
      </c>
      <c r="Y510" s="18">
        <f t="shared" si="428"/>
        <v>-1.4926775800677754</v>
      </c>
      <c r="Z510" s="32" t="str">
        <f t="shared" si="415"/>
        <v>-1.76732388367576+6.26991390213986i</v>
      </c>
      <c r="AA510" s="18">
        <f t="shared" si="429"/>
        <v>6.5142347248205192</v>
      </c>
      <c r="AB510" s="18">
        <f t="shared" si="430"/>
        <v>1.8455416726147995</v>
      </c>
      <c r="AC510" s="68" t="str">
        <f t="shared" si="431"/>
        <v>-0.080732403899898+0.0327456121803109i</v>
      </c>
      <c r="AD510" s="66">
        <f t="shared" si="432"/>
        <v>-21.197584440258311</v>
      </c>
      <c r="AE510" s="63">
        <f t="shared" si="433"/>
        <v>157.9221907520062</v>
      </c>
      <c r="AF510" s="51" t="e">
        <f t="shared" si="434"/>
        <v>#NUM!</v>
      </c>
      <c r="AG510" s="51" t="str">
        <f t="shared" si="416"/>
        <v>1-3919.59442922745i</v>
      </c>
      <c r="AH510" s="51">
        <f t="shared" si="435"/>
        <v>3919.5945567916665</v>
      </c>
      <c r="AI510" s="51">
        <f t="shared" si="436"/>
        <v>-1.5705411983635349</v>
      </c>
      <c r="AJ510" s="51" t="str">
        <f t="shared" si="417"/>
        <v>1+5.22612590563659i</v>
      </c>
      <c r="AK510" s="51">
        <f t="shared" si="437"/>
        <v>5.3209390131409959</v>
      </c>
      <c r="AL510" s="51">
        <f t="shared" si="438"/>
        <v>1.3817352830864666</v>
      </c>
      <c r="AM510" s="51" t="e">
        <f t="shared" si="418"/>
        <v>#NUM!</v>
      </c>
      <c r="AN510" s="51" t="e">
        <f t="shared" si="439"/>
        <v>#NUM!</v>
      </c>
      <c r="AO510" s="51" t="e">
        <f t="shared" si="440"/>
        <v>#NUM!</v>
      </c>
      <c r="AP510" s="60" t="e">
        <f t="shared" si="441"/>
        <v>#NUM!</v>
      </c>
      <c r="AQ510" s="51" t="e">
        <f t="shared" si="442"/>
        <v>#NUM!</v>
      </c>
      <c r="AR510" s="63" t="e">
        <f t="shared" si="443"/>
        <v>#NUM!</v>
      </c>
      <c r="AS510" s="32" t="str">
        <f t="shared" si="419"/>
        <v>-0.000170731707317073</v>
      </c>
      <c r="AT510" s="32" t="str">
        <f t="shared" si="420"/>
        <v>0.19859278441419i</v>
      </c>
      <c r="AU510" s="32">
        <f t="shared" si="444"/>
        <v>0.19859278441419001</v>
      </c>
      <c r="AV510" s="32">
        <f t="shared" si="445"/>
        <v>1.5707963267948966</v>
      </c>
      <c r="AW510" s="32" t="str">
        <f t="shared" si="421"/>
        <v>1+42.2821091691819i</v>
      </c>
      <c r="AX510" s="32">
        <f t="shared" si="446"/>
        <v>42.293932848514061</v>
      </c>
      <c r="AY510" s="32">
        <f t="shared" si="447"/>
        <v>1.5471500700002949</v>
      </c>
      <c r="AZ510" s="32" t="str">
        <f t="shared" si="422"/>
        <v>1+803.360074214457i</v>
      </c>
      <c r="BA510" s="32">
        <f t="shared" si="448"/>
        <v>803.3606966001372</v>
      </c>
      <c r="BB510" s="32">
        <f t="shared" si="449"/>
        <v>1.5695515555950177</v>
      </c>
      <c r="BC510" s="60" t="str">
        <f t="shared" si="450"/>
        <v>-0.000365783173763686+0.0163257915909169i</v>
      </c>
      <c r="BD510" s="51">
        <f t="shared" si="451"/>
        <v>-35.740335449563787</v>
      </c>
      <c r="BE510" s="63">
        <f t="shared" si="452"/>
        <v>91.283510579400726</v>
      </c>
      <c r="BF510" s="60" t="str">
        <f t="shared" si="453"/>
        <v>-0.000505067485048669-0.00132999819465361i</v>
      </c>
      <c r="BG510" s="66">
        <f t="shared" si="454"/>
        <v>-56.937919889822112</v>
      </c>
      <c r="BH510" s="63">
        <f t="shared" si="455"/>
        <v>-110.79429866859306</v>
      </c>
      <c r="BI510" s="60" t="e">
        <f t="shared" si="460"/>
        <v>#NUM!</v>
      </c>
      <c r="BJ510" s="66" t="e">
        <f t="shared" si="456"/>
        <v>#NUM!</v>
      </c>
      <c r="BK510" s="63" t="e">
        <f t="shared" si="461"/>
        <v>#NUM!</v>
      </c>
      <c r="BL510" s="51">
        <f t="shared" si="457"/>
        <v>-56.937919889822112</v>
      </c>
      <c r="BM510" s="63">
        <f t="shared" si="458"/>
        <v>-110.79429866859306</v>
      </c>
    </row>
    <row r="511" spans="14:65" x14ac:dyDescent="0.3">
      <c r="N511" s="11">
        <v>93</v>
      </c>
      <c r="O511" s="52">
        <f t="shared" si="459"/>
        <v>851138.03820237669</v>
      </c>
      <c r="P511" s="50" t="str">
        <f t="shared" si="411"/>
        <v>23.3035714285714</v>
      </c>
      <c r="Q511" s="18" t="str">
        <f t="shared" si="412"/>
        <v>1+2864.9239371508i</v>
      </c>
      <c r="R511" s="18">
        <f t="shared" si="423"/>
        <v>2864.9241116754979</v>
      </c>
      <c r="S511" s="18">
        <f t="shared" si="424"/>
        <v>1.5704472774025477</v>
      </c>
      <c r="T511" s="18" t="str">
        <f t="shared" si="413"/>
        <v>1+5.34785801601483i</v>
      </c>
      <c r="U511" s="18">
        <f t="shared" si="425"/>
        <v>5.4405500971366925</v>
      </c>
      <c r="V511" s="18">
        <f t="shared" si="426"/>
        <v>1.3859403734821916</v>
      </c>
      <c r="W511" s="32" t="str">
        <f t="shared" si="414"/>
        <v>1-13.0725418169251i</v>
      </c>
      <c r="X511" s="18">
        <f t="shared" si="427"/>
        <v>13.110734134870381</v>
      </c>
      <c r="Y511" s="18">
        <f t="shared" si="428"/>
        <v>-1.4944487979971699</v>
      </c>
      <c r="Z511" s="32" t="str">
        <f t="shared" si="415"/>
        <v>-1.89774384029997+6.41595895826339i</v>
      </c>
      <c r="AA511" s="18">
        <f t="shared" si="429"/>
        <v>6.6907369577287019</v>
      </c>
      <c r="AB511" s="18">
        <f t="shared" si="430"/>
        <v>1.8583815937332777</v>
      </c>
      <c r="AC511" s="68" t="str">
        <f t="shared" si="431"/>
        <v>-0.0800148041649978+0.0334290790735714i</v>
      </c>
      <c r="AD511" s="66">
        <f t="shared" si="432"/>
        <v>-21.237895394008067</v>
      </c>
      <c r="AE511" s="63">
        <f t="shared" si="433"/>
        <v>157.32550224498863</v>
      </c>
      <c r="AF511" s="51" t="e">
        <f t="shared" si="434"/>
        <v>#NUM!</v>
      </c>
      <c r="AG511" s="51" t="str">
        <f t="shared" si="416"/>
        <v>1-4010.89351201113i</v>
      </c>
      <c r="AH511" s="51">
        <f t="shared" si="435"/>
        <v>4010.8936366716298</v>
      </c>
      <c r="AI511" s="51">
        <f t="shared" si="436"/>
        <v>-1.5705470057954023</v>
      </c>
      <c r="AJ511" s="51" t="str">
        <f t="shared" si="417"/>
        <v>1+5.34785801601483i</v>
      </c>
      <c r="AK511" s="51">
        <f t="shared" si="437"/>
        <v>5.4405500971366925</v>
      </c>
      <c r="AL511" s="51">
        <f t="shared" si="438"/>
        <v>1.3859403734821916</v>
      </c>
      <c r="AM511" s="51" t="e">
        <f t="shared" si="418"/>
        <v>#NUM!</v>
      </c>
      <c r="AN511" s="51" t="e">
        <f t="shared" si="439"/>
        <v>#NUM!</v>
      </c>
      <c r="AO511" s="51" t="e">
        <f t="shared" si="440"/>
        <v>#NUM!</v>
      </c>
      <c r="AP511" s="60" t="e">
        <f t="shared" si="441"/>
        <v>#NUM!</v>
      </c>
      <c r="AQ511" s="51" t="e">
        <f t="shared" si="442"/>
        <v>#NUM!</v>
      </c>
      <c r="AR511" s="63" t="e">
        <f t="shared" si="443"/>
        <v>#NUM!</v>
      </c>
      <c r="AS511" s="32" t="str">
        <f t="shared" si="419"/>
        <v>-0.000170731707317073</v>
      </c>
      <c r="AT511" s="32" t="str">
        <f t="shared" si="420"/>
        <v>0.203218604608564i</v>
      </c>
      <c r="AU511" s="32">
        <f t="shared" si="444"/>
        <v>0.203218604608564</v>
      </c>
      <c r="AV511" s="32">
        <f t="shared" si="445"/>
        <v>1.5707963267948966</v>
      </c>
      <c r="AW511" s="32" t="str">
        <f t="shared" si="421"/>
        <v>1+43.2669860116736i</v>
      </c>
      <c r="AX511" s="32">
        <f t="shared" si="446"/>
        <v>43.278540623897648</v>
      </c>
      <c r="AY511" s="32">
        <f t="shared" si="447"/>
        <v>1.5476881306947325</v>
      </c>
      <c r="AZ511" s="32" t="str">
        <f t="shared" si="422"/>
        <v>1+822.0727342218i</v>
      </c>
      <c r="BA511" s="32">
        <f t="shared" si="448"/>
        <v>822.0733424402631</v>
      </c>
      <c r="BB511" s="32">
        <f t="shared" si="449"/>
        <v>1.569579890018524</v>
      </c>
      <c r="BC511" s="60" t="str">
        <f t="shared" si="450"/>
        <v>-0.000349329008503289+0.0159545514979821i</v>
      </c>
      <c r="BD511" s="51">
        <f t="shared" si="451"/>
        <v>-35.940226478213276</v>
      </c>
      <c r="BE511" s="63">
        <f t="shared" si="452"/>
        <v>91.254305415369416</v>
      </c>
      <c r="BF511" s="60" t="str">
        <f t="shared" si="453"/>
        <v>-0.000505394471404867-0.00128827806069936i</v>
      </c>
      <c r="BG511" s="66">
        <f t="shared" si="454"/>
        <v>-57.17812187222134</v>
      </c>
      <c r="BH511" s="63">
        <f t="shared" si="455"/>
        <v>-111.42019233964191</v>
      </c>
      <c r="BI511" s="60" t="e">
        <f t="shared" si="460"/>
        <v>#NUM!</v>
      </c>
      <c r="BJ511" s="66" t="e">
        <f t="shared" si="456"/>
        <v>#NUM!</v>
      </c>
      <c r="BK511" s="63" t="e">
        <f t="shared" si="461"/>
        <v>#NUM!</v>
      </c>
      <c r="BL511" s="51">
        <f t="shared" si="457"/>
        <v>-57.17812187222134</v>
      </c>
      <c r="BM511" s="63">
        <f t="shared" si="458"/>
        <v>-111.42019233964191</v>
      </c>
    </row>
    <row r="512" spans="14:65" x14ac:dyDescent="0.3">
      <c r="N512" s="11">
        <v>94</v>
      </c>
      <c r="O512" s="52">
        <f t="shared" si="459"/>
        <v>870963.58995608077</v>
      </c>
      <c r="P512" s="50" t="str">
        <f t="shared" si="411"/>
        <v>23.3035714285714</v>
      </c>
      <c r="Q512" s="18" t="str">
        <f t="shared" si="412"/>
        <v>1+2931.6565883038i</v>
      </c>
      <c r="R512" s="18">
        <f t="shared" si="423"/>
        <v>2931.656758855831</v>
      </c>
      <c r="S512" s="18">
        <f t="shared" si="424"/>
        <v>1.5704552227361179</v>
      </c>
      <c r="T512" s="18" t="str">
        <f t="shared" si="413"/>
        <v>1+5.47242563150043i</v>
      </c>
      <c r="U512" s="18">
        <f t="shared" si="425"/>
        <v>5.5630425391419465</v>
      </c>
      <c r="V512" s="18">
        <f t="shared" si="426"/>
        <v>1.3900561442916941</v>
      </c>
      <c r="W512" s="32" t="str">
        <f t="shared" si="414"/>
        <v>1-13.3770404325566i</v>
      </c>
      <c r="X512" s="18">
        <f t="shared" si="427"/>
        <v>13.414365834218703</v>
      </c>
      <c r="Y512" s="18">
        <f t="shared" si="428"/>
        <v>-1.4961801619955286</v>
      </c>
      <c r="Z512" s="32" t="str">
        <f t="shared" si="415"/>
        <v>-2.03431030011674+6.56540584075185i</v>
      </c>
      <c r="AA512" s="18">
        <f t="shared" si="429"/>
        <v>6.8733523298998414</v>
      </c>
      <c r="AB512" s="18">
        <f t="shared" si="430"/>
        <v>1.8712678243983307</v>
      </c>
      <c r="AC512" s="68" t="str">
        <f t="shared" si="431"/>
        <v>-0.0792780993176674+0.0341042709600688i</v>
      </c>
      <c r="AD512" s="66">
        <f t="shared" si="432"/>
        <v>-21.279534322839353</v>
      </c>
      <c r="AE512" s="63">
        <f t="shared" si="433"/>
        <v>156.72333682688938</v>
      </c>
      <c r="AF512" s="51" t="e">
        <f t="shared" si="434"/>
        <v>#NUM!</v>
      </c>
      <c r="AG512" s="51" t="str">
        <f t="shared" si="416"/>
        <v>1-4104.31922362533i</v>
      </c>
      <c r="AH512" s="51">
        <f t="shared" si="435"/>
        <v>4104.3193454482107</v>
      </c>
      <c r="AI512" s="51">
        <f t="shared" si="436"/>
        <v>-1.5705526810339978</v>
      </c>
      <c r="AJ512" s="51" t="str">
        <f t="shared" si="417"/>
        <v>1+5.47242563150043i</v>
      </c>
      <c r="AK512" s="51">
        <f t="shared" si="437"/>
        <v>5.5630425391419465</v>
      </c>
      <c r="AL512" s="51">
        <f t="shared" si="438"/>
        <v>1.3900561442916941</v>
      </c>
      <c r="AM512" s="51" t="e">
        <f t="shared" si="418"/>
        <v>#NUM!</v>
      </c>
      <c r="AN512" s="51" t="e">
        <f t="shared" si="439"/>
        <v>#NUM!</v>
      </c>
      <c r="AO512" s="51" t="e">
        <f t="shared" si="440"/>
        <v>#NUM!</v>
      </c>
      <c r="AP512" s="60" t="e">
        <f t="shared" si="441"/>
        <v>#NUM!</v>
      </c>
      <c r="AQ512" s="51" t="e">
        <f t="shared" si="442"/>
        <v>#NUM!</v>
      </c>
      <c r="AR512" s="63" t="e">
        <f t="shared" si="443"/>
        <v>#NUM!</v>
      </c>
      <c r="AS512" s="32" t="str">
        <f t="shared" si="419"/>
        <v>-0.000170731707317073</v>
      </c>
      <c r="AT512" s="32" t="str">
        <f t="shared" si="420"/>
        <v>0.207952173997016i</v>
      </c>
      <c r="AU512" s="32">
        <f t="shared" si="444"/>
        <v>0.20795217399701599</v>
      </c>
      <c r="AV512" s="32">
        <f t="shared" si="445"/>
        <v>1.5707963267948966</v>
      </c>
      <c r="AW512" s="32" t="str">
        <f t="shared" si="421"/>
        <v>1+44.274803582855i</v>
      </c>
      <c r="AX512" s="32">
        <f t="shared" si="446"/>
        <v>44.28609524783586</v>
      </c>
      <c r="AY512" s="32">
        <f t="shared" si="447"/>
        <v>1.5482139565640631</v>
      </c>
      <c r="AZ512" s="32" t="str">
        <f t="shared" si="422"/>
        <v>1+841.221268074246i</v>
      </c>
      <c r="BA512" s="32">
        <f t="shared" si="448"/>
        <v>841.2218624479766</v>
      </c>
      <c r="BB512" s="32">
        <f t="shared" si="449"/>
        <v>1.5696075794736963</v>
      </c>
      <c r="BC512" s="60" t="str">
        <f t="shared" si="450"/>
        <v>-0.000333614629686894+0.0155917364957404i</v>
      </c>
      <c r="BD512" s="51">
        <f t="shared" si="451"/>
        <v>-36.140122408814676</v>
      </c>
      <c r="BE512" s="63">
        <f t="shared" si="452"/>
        <v>91.225764301216387</v>
      </c>
      <c r="BF512" s="60" t="str">
        <f t="shared" si="453"/>
        <v>-0.00050529647244258-0.00124746091817129i</v>
      </c>
      <c r="BG512" s="66">
        <f t="shared" si="454"/>
        <v>-57.419656731654037</v>
      </c>
      <c r="BH512" s="63">
        <f t="shared" si="455"/>
        <v>-112.05089887189426</v>
      </c>
      <c r="BI512" s="60" t="e">
        <f t="shared" si="460"/>
        <v>#NUM!</v>
      </c>
      <c r="BJ512" s="66" t="e">
        <f t="shared" si="456"/>
        <v>#NUM!</v>
      </c>
      <c r="BK512" s="63" t="e">
        <f t="shared" si="461"/>
        <v>#NUM!</v>
      </c>
      <c r="BL512" s="51">
        <f t="shared" si="457"/>
        <v>-57.419656731654037</v>
      </c>
      <c r="BM512" s="63">
        <f t="shared" si="458"/>
        <v>-112.05089887189426</v>
      </c>
    </row>
    <row r="513" spans="14:65" x14ac:dyDescent="0.3">
      <c r="N513" s="11">
        <v>95</v>
      </c>
      <c r="O513" s="52">
        <f t="shared" si="459"/>
        <v>891250.93813374708</v>
      </c>
      <c r="P513" s="50" t="str">
        <f t="shared" si="411"/>
        <v>23.3035714285714</v>
      </c>
      <c r="Q513" s="18" t="str">
        <f t="shared" si="412"/>
        <v>1+2999.94364258498i</v>
      </c>
      <c r="R513" s="18">
        <f t="shared" si="423"/>
        <v>2999.943809254773</v>
      </c>
      <c r="S513" s="18">
        <f t="shared" si="424"/>
        <v>1.570462987211857</v>
      </c>
      <c r="T513" s="18" t="str">
        <f t="shared" si="413"/>
        <v>1+5.59989479949198i</v>
      </c>
      <c r="U513" s="18">
        <f t="shared" si="425"/>
        <v>5.688481499080166</v>
      </c>
      <c r="V513" s="18">
        <f t="shared" si="426"/>
        <v>1.3940842197229051</v>
      </c>
      <c r="W513" s="32" t="str">
        <f t="shared" si="414"/>
        <v>1-13.6886317320915i</v>
      </c>
      <c r="X513" s="18">
        <f t="shared" si="427"/>
        <v>13.725109788151872</v>
      </c>
      <c r="Y513" s="18">
        <f t="shared" si="428"/>
        <v>-1.4978725485119408</v>
      </c>
      <c r="Z513" s="32" t="str">
        <f t="shared" si="415"/>
        <v>-2.17731293889714+6.71833378832051i</v>
      </c>
      <c r="AA513" s="18">
        <f t="shared" si="429"/>
        <v>7.0623438407640498</v>
      </c>
      <c r="AB513" s="18">
        <f t="shared" si="430"/>
        <v>1.8842006506572218</v>
      </c>
      <c r="AC513" s="68" t="str">
        <f t="shared" si="431"/>
        <v>-0.0785221742659526+0.034770465636545i</v>
      </c>
      <c r="AD513" s="66">
        <f t="shared" si="432"/>
        <v>-21.322546330246979</v>
      </c>
      <c r="AE513" s="63">
        <f t="shared" si="433"/>
        <v>156.11572071046257</v>
      </c>
      <c r="AF513" s="51" t="e">
        <f t="shared" si="434"/>
        <v>#NUM!</v>
      </c>
      <c r="AG513" s="51" t="str">
        <f t="shared" si="416"/>
        <v>1-4199.92109961899i</v>
      </c>
      <c r="AH513" s="51">
        <f t="shared" si="435"/>
        <v>4199.9212186688437</v>
      </c>
      <c r="AI513" s="51">
        <f t="shared" si="436"/>
        <v>-1.570558227088406</v>
      </c>
      <c r="AJ513" s="51" t="str">
        <f t="shared" si="417"/>
        <v>1+5.59989479949198i</v>
      </c>
      <c r="AK513" s="51">
        <f t="shared" si="437"/>
        <v>5.688481499080166</v>
      </c>
      <c r="AL513" s="51">
        <f t="shared" si="438"/>
        <v>1.3940842197229051</v>
      </c>
      <c r="AM513" s="51" t="e">
        <f t="shared" si="418"/>
        <v>#NUM!</v>
      </c>
      <c r="AN513" s="51" t="e">
        <f t="shared" si="439"/>
        <v>#NUM!</v>
      </c>
      <c r="AO513" s="51" t="e">
        <f t="shared" si="440"/>
        <v>#NUM!</v>
      </c>
      <c r="AP513" s="60" t="e">
        <f t="shared" si="441"/>
        <v>#NUM!</v>
      </c>
      <c r="AQ513" s="51" t="e">
        <f t="shared" si="442"/>
        <v>#NUM!</v>
      </c>
      <c r="AR513" s="63" t="e">
        <f t="shared" si="443"/>
        <v>#NUM!</v>
      </c>
      <c r="AS513" s="32" t="str">
        <f t="shared" si="419"/>
        <v>-0.000170731707317073</v>
      </c>
      <c r="AT513" s="32" t="str">
        <f t="shared" si="420"/>
        <v>0.212796002380695i</v>
      </c>
      <c r="AU513" s="32">
        <f t="shared" si="444"/>
        <v>0.21279600238069499</v>
      </c>
      <c r="AV513" s="32">
        <f t="shared" si="445"/>
        <v>1.5707963267948966</v>
      </c>
      <c r="AW513" s="32" t="str">
        <f t="shared" si="421"/>
        <v>1+45.3060962409424i</v>
      </c>
      <c r="AX513" s="32">
        <f t="shared" si="446"/>
        <v>45.317130939563413</v>
      </c>
      <c r="AY513" s="32">
        <f t="shared" si="447"/>
        <v>1.5487278252443593</v>
      </c>
      <c r="AZ513" s="32" t="str">
        <f t="shared" si="422"/>
        <v>1+860.815828577908i</v>
      </c>
      <c r="BA513" s="32">
        <f t="shared" si="448"/>
        <v>860.8164094220499</v>
      </c>
      <c r="BB513" s="32">
        <f t="shared" si="449"/>
        <v>1.5696346386416802</v>
      </c>
      <c r="BC513" s="60" t="str">
        <f t="shared" si="450"/>
        <v>-0.000318606809403068+0.0152371564968552i</v>
      </c>
      <c r="BD513" s="51">
        <f t="shared" si="451"/>
        <v>-36.340023020969682</v>
      </c>
      <c r="BE513" s="63">
        <f t="shared" si="452"/>
        <v>91.197872170734044</v>
      </c>
      <c r="BF513" s="60" t="str">
        <f t="shared" si="453"/>
        <v>-0.000504785326962295-0.00120753276488157i</v>
      </c>
      <c r="BG513" s="66">
        <f t="shared" si="454"/>
        <v>-57.662569351216682</v>
      </c>
      <c r="BH513" s="63">
        <f t="shared" si="455"/>
        <v>-112.68640711880344</v>
      </c>
      <c r="BI513" s="60" t="e">
        <f t="shared" si="460"/>
        <v>#NUM!</v>
      </c>
      <c r="BJ513" s="66" t="e">
        <f t="shared" si="456"/>
        <v>#NUM!</v>
      </c>
      <c r="BK513" s="63" t="e">
        <f t="shared" si="461"/>
        <v>#NUM!</v>
      </c>
      <c r="BL513" s="51">
        <f t="shared" si="457"/>
        <v>-57.662569351216682</v>
      </c>
      <c r="BM513" s="63">
        <f t="shared" si="458"/>
        <v>-112.68640711880344</v>
      </c>
    </row>
    <row r="514" spans="14:65" x14ac:dyDescent="0.3">
      <c r="N514" s="11">
        <v>96</v>
      </c>
      <c r="O514" s="52">
        <f t="shared" si="459"/>
        <v>912010.83935591124</v>
      </c>
      <c r="P514" s="50" t="str">
        <f t="shared" si="411"/>
        <v>23.3035714285714</v>
      </c>
      <c r="Q514" s="18" t="str">
        <f t="shared" si="412"/>
        <v>1+3069.82130669441i</v>
      </c>
      <c r="R514" s="18">
        <f t="shared" si="423"/>
        <v>3069.8214695703359</v>
      </c>
      <c r="S514" s="18">
        <f t="shared" si="424"/>
        <v>1.5704705749465895</v>
      </c>
      <c r="T514" s="18" t="str">
        <f t="shared" si="413"/>
        <v>1+5.73033310582958i</v>
      </c>
      <c r="U514" s="18">
        <f t="shared" si="425"/>
        <v>5.8169336856944209</v>
      </c>
      <c r="V514" s="18">
        <f t="shared" si="426"/>
        <v>1.398026212399994</v>
      </c>
      <c r="W514" s="32" t="str">
        <f t="shared" si="414"/>
        <v>1-14.0074809253612i</v>
      </c>
      <c r="X514" s="18">
        <f t="shared" si="427"/>
        <v>14.043130771817152</v>
      </c>
      <c r="Y514" s="18">
        <f t="shared" si="428"/>
        <v>-1.4995268160721265</v>
      </c>
      <c r="Z514" s="32" t="str">
        <f t="shared" si="415"/>
        <v>-2.3270550844107+6.87482388539139i</v>
      </c>
      <c r="AA514" s="18">
        <f t="shared" si="429"/>
        <v>7.2579879319980716</v>
      </c>
      <c r="AB514" s="18">
        <f t="shared" si="430"/>
        <v>1.8971801506071904</v>
      </c>
      <c r="AC514" s="68" t="str">
        <f t="shared" si="431"/>
        <v>-0.0777469543643872+0.0354269163062229i</v>
      </c>
      <c r="AD514" s="66">
        <f t="shared" si="432"/>
        <v>-21.366976466838395</v>
      </c>
      <c r="AE514" s="63">
        <f t="shared" si="433"/>
        <v>155.50269239184743</v>
      </c>
      <c r="AF514" s="51" t="e">
        <f t="shared" si="434"/>
        <v>#NUM!</v>
      </c>
      <c r="AG514" s="51" t="str">
        <f t="shared" si="416"/>
        <v>1-4297.7498293722i</v>
      </c>
      <c r="AH514" s="51">
        <f t="shared" si="435"/>
        <v>4297.7499457121485</v>
      </c>
      <c r="AI514" s="51">
        <f t="shared" si="436"/>
        <v>-1.5705636468992175</v>
      </c>
      <c r="AJ514" s="51" t="str">
        <f t="shared" si="417"/>
        <v>1+5.73033310582958i</v>
      </c>
      <c r="AK514" s="51">
        <f t="shared" si="437"/>
        <v>5.8169336856944209</v>
      </c>
      <c r="AL514" s="51">
        <f t="shared" si="438"/>
        <v>1.398026212399994</v>
      </c>
      <c r="AM514" s="51" t="e">
        <f t="shared" si="418"/>
        <v>#NUM!</v>
      </c>
      <c r="AN514" s="51" t="e">
        <f t="shared" si="439"/>
        <v>#NUM!</v>
      </c>
      <c r="AO514" s="51" t="e">
        <f t="shared" si="440"/>
        <v>#NUM!</v>
      </c>
      <c r="AP514" s="60" t="e">
        <f t="shared" si="441"/>
        <v>#NUM!</v>
      </c>
      <c r="AQ514" s="51" t="e">
        <f t="shared" si="442"/>
        <v>#NUM!</v>
      </c>
      <c r="AR514" s="63" t="e">
        <f t="shared" si="443"/>
        <v>#NUM!</v>
      </c>
      <c r="AS514" s="32" t="str">
        <f t="shared" si="419"/>
        <v>-0.000170731707317073</v>
      </c>
      <c r="AT514" s="32" t="str">
        <f t="shared" si="420"/>
        <v>0.217752658021524i</v>
      </c>
      <c r="AU514" s="32">
        <f t="shared" si="444"/>
        <v>0.21775265802152399</v>
      </c>
      <c r="AV514" s="32">
        <f t="shared" si="445"/>
        <v>1.5707963267948966</v>
      </c>
      <c r="AW514" s="32" t="str">
        <f t="shared" si="421"/>
        <v>1+46.3614107909538i</v>
      </c>
      <c r="AX514" s="32">
        <f t="shared" si="446"/>
        <v>46.372194368258739</v>
      </c>
      <c r="AY514" s="32">
        <f t="shared" si="447"/>
        <v>1.5492300081094335</v>
      </c>
      <c r="AZ514" s="32" t="str">
        <f t="shared" si="422"/>
        <v>1+880.866805028123i</v>
      </c>
      <c r="BA514" s="32">
        <f t="shared" si="448"/>
        <v>880.86737265064676</v>
      </c>
      <c r="BB514" s="32">
        <f t="shared" si="449"/>
        <v>1.5696610818694459</v>
      </c>
      <c r="BC514" s="60" t="str">
        <f t="shared" si="450"/>
        <v>-0.000304273809269278+0.0148906256282359i</v>
      </c>
      <c r="BD514" s="51">
        <f t="shared" si="451"/>
        <v>-36.539928104179573</v>
      </c>
      <c r="BE514" s="63">
        <f t="shared" si="452"/>
        <v>91.170614297369184</v>
      </c>
      <c r="BF514" s="60" t="str">
        <f t="shared" si="453"/>
        <v>-0.000503872585915274-0.00116848027395079i</v>
      </c>
      <c r="BG514" s="66">
        <f t="shared" si="454"/>
        <v>-57.906904571017968</v>
      </c>
      <c r="BH514" s="63">
        <f t="shared" si="455"/>
        <v>-113.32669331078338</v>
      </c>
      <c r="BI514" s="60" t="e">
        <f t="shared" si="460"/>
        <v>#NUM!</v>
      </c>
      <c r="BJ514" s="66" t="e">
        <f t="shared" si="456"/>
        <v>#NUM!</v>
      </c>
      <c r="BK514" s="63" t="e">
        <f t="shared" si="461"/>
        <v>#NUM!</v>
      </c>
      <c r="BL514" s="51">
        <f t="shared" si="457"/>
        <v>-57.906904571017968</v>
      </c>
      <c r="BM514" s="63">
        <f t="shared" si="458"/>
        <v>-113.32669331078338</v>
      </c>
    </row>
    <row r="515" spans="14:65" x14ac:dyDescent="0.3">
      <c r="N515" s="11">
        <v>97</v>
      </c>
      <c r="O515" s="52">
        <f t="shared" si="459"/>
        <v>933254.30079699249</v>
      </c>
      <c r="P515" s="50" t="str">
        <f t="shared" si="411"/>
        <v>23.3035714285714</v>
      </c>
      <c r="Q515" s="18" t="str">
        <f t="shared" si="412"/>
        <v>1+3141.32663069454i</v>
      </c>
      <c r="R515" s="18">
        <f t="shared" si="423"/>
        <v>3141.3267898629574</v>
      </c>
      <c r="S515" s="18">
        <f t="shared" si="424"/>
        <v>1.5704779899634289</v>
      </c>
      <c r="T515" s="18" t="str">
        <f t="shared" si="413"/>
        <v>1+5.86380971062982i</v>
      </c>
      <c r="U515" s="18">
        <f t="shared" si="425"/>
        <v>5.9484673927387863</v>
      </c>
      <c r="V515" s="18">
        <f t="shared" si="426"/>
        <v>1.4018837221295797</v>
      </c>
      <c r="W515" s="32" t="str">
        <f t="shared" si="414"/>
        <v>1-14.3337570704285i</v>
      </c>
      <c r="X515" s="18">
        <f t="shared" si="427"/>
        <v>14.368597417773909</v>
      </c>
      <c r="Y515" s="18">
        <f t="shared" si="428"/>
        <v>-1.5011438055537683</v>
      </c>
      <c r="Z515" s="32" t="str">
        <f t="shared" si="415"/>
        <v>-2.48385435982434+7.03495910508536i</v>
      </c>
      <c r="AA515" s="18">
        <f t="shared" si="429"/>
        <v>7.4605751850002671</v>
      </c>
      <c r="AB515" s="18">
        <f t="shared" si="430"/>
        <v>1.9102061887407225</v>
      </c>
      <c r="AC515" s="68" t="str">
        <f t="shared" si="431"/>
        <v>-0.0769524077282406+0.0360728536152167i</v>
      </c>
      <c r="AD515" s="66">
        <f t="shared" si="432"/>
        <v>-21.412869654212887</v>
      </c>
      <c r="AE515" s="63">
        <f t="shared" si="433"/>
        <v>154.88430288797045</v>
      </c>
      <c r="AF515" s="51" t="e">
        <f t="shared" si="434"/>
        <v>#NUM!</v>
      </c>
      <c r="AG515" s="51" t="str">
        <f t="shared" si="416"/>
        <v>1-4397.85728297238i</v>
      </c>
      <c r="AH515" s="51">
        <f t="shared" si="435"/>
        <v>4397.857396664107</v>
      </c>
      <c r="AI515" s="51">
        <f t="shared" si="436"/>
        <v>-1.5705689433400862</v>
      </c>
      <c r="AJ515" s="51" t="str">
        <f t="shared" si="417"/>
        <v>1+5.86380971062982i</v>
      </c>
      <c r="AK515" s="51">
        <f t="shared" si="437"/>
        <v>5.9484673927387863</v>
      </c>
      <c r="AL515" s="51">
        <f t="shared" si="438"/>
        <v>1.4018837221295797</v>
      </c>
      <c r="AM515" s="51" t="e">
        <f t="shared" si="418"/>
        <v>#NUM!</v>
      </c>
      <c r="AN515" s="51" t="e">
        <f t="shared" si="439"/>
        <v>#NUM!</v>
      </c>
      <c r="AO515" s="51" t="e">
        <f t="shared" si="440"/>
        <v>#NUM!</v>
      </c>
      <c r="AP515" s="60" t="e">
        <f t="shared" si="441"/>
        <v>#NUM!</v>
      </c>
      <c r="AQ515" s="51" t="e">
        <f t="shared" si="442"/>
        <v>#NUM!</v>
      </c>
      <c r="AR515" s="63" t="e">
        <f t="shared" si="443"/>
        <v>#NUM!</v>
      </c>
      <c r="AS515" s="32" t="str">
        <f t="shared" si="419"/>
        <v>-0.000170731707317073</v>
      </c>
      <c r="AT515" s="32" t="str">
        <f t="shared" si="420"/>
        <v>0.222824769003933i</v>
      </c>
      <c r="AU515" s="32">
        <f t="shared" si="444"/>
        <v>0.222824769003933</v>
      </c>
      <c r="AV515" s="32">
        <f t="shared" si="445"/>
        <v>1.5707963267948966</v>
      </c>
      <c r="AW515" s="32" t="str">
        <f t="shared" si="421"/>
        <v>1+47.4413067746324i</v>
      </c>
      <c r="AX515" s="32">
        <f t="shared" si="446"/>
        <v>47.451844942897452</v>
      </c>
      <c r="AY515" s="32">
        <f t="shared" si="447"/>
        <v>1.5497207704095528</v>
      </c>
      <c r="AZ515" s="32" t="str">
        <f t="shared" si="422"/>
        <v>1+901.384828718016i</v>
      </c>
      <c r="BA515" s="32">
        <f t="shared" si="448"/>
        <v>901.38538341988169</v>
      </c>
      <c r="BB515" s="32">
        <f t="shared" si="449"/>
        <v>1.5696869231773947</v>
      </c>
      <c r="BC515" s="60" t="str">
        <f t="shared" si="450"/>
        <v>-0.000290585313916795+0.0145519621426081i</v>
      </c>
      <c r="BD515" s="51">
        <f t="shared" si="451"/>
        <v>-36.739837457401272</v>
      </c>
      <c r="BE515" s="63">
        <f t="shared" si="452"/>
        <v>91.143976286710782</v>
      </c>
      <c r="BF515" s="60" t="str">
        <f t="shared" si="453"/>
        <v>-0.000502569560628113-0.00113029076553555i</v>
      </c>
      <c r="BG515" s="66">
        <f t="shared" si="454"/>
        <v>-58.152707111614177</v>
      </c>
      <c r="BH515" s="63">
        <f t="shared" si="455"/>
        <v>-113.9717208253188</v>
      </c>
      <c r="BI515" s="60" t="e">
        <f t="shared" si="460"/>
        <v>#NUM!</v>
      </c>
      <c r="BJ515" s="66" t="e">
        <f t="shared" si="456"/>
        <v>#NUM!</v>
      </c>
      <c r="BK515" s="63" t="e">
        <f t="shared" si="461"/>
        <v>#NUM!</v>
      </c>
      <c r="BL515" s="51">
        <f t="shared" si="457"/>
        <v>-58.152707111614177</v>
      </c>
      <c r="BM515" s="63">
        <f t="shared" si="458"/>
        <v>-113.9717208253188</v>
      </c>
    </row>
    <row r="516" spans="14:65" x14ac:dyDescent="0.3">
      <c r="N516" s="11">
        <v>98</v>
      </c>
      <c r="O516" s="52">
        <f t="shared" si="459"/>
        <v>954992.58602143743</v>
      </c>
      <c r="P516" s="50" t="str">
        <f t="shared" si="411"/>
        <v>23.3035714285714</v>
      </c>
      <c r="Q516" s="18" t="str">
        <f t="shared" si="412"/>
        <v>1+3214.49752765464i</v>
      </c>
      <c r="R516" s="18">
        <f t="shared" si="423"/>
        <v>3214.4976831999425</v>
      </c>
      <c r="S516" s="18">
        <f t="shared" si="424"/>
        <v>1.5704852361939123</v>
      </c>
      <c r="T516" s="18" t="str">
        <f t="shared" si="413"/>
        <v>1+6.00039538495533i</v>
      </c>
      <c r="U516" s="18">
        <f t="shared" si="425"/>
        <v>6.0831525359630119</v>
      </c>
      <c r="V516" s="18">
        <f t="shared" si="426"/>
        <v>1.4056583347750333</v>
      </c>
      <c r="W516" s="32" t="str">
        <f t="shared" si="414"/>
        <v>1-14.6676331632241i</v>
      </c>
      <c r="X516" s="18">
        <f t="shared" si="427"/>
        <v>14.701682305468017</v>
      </c>
      <c r="Y516" s="18">
        <f t="shared" si="428"/>
        <v>-1.5027243404641462</v>
      </c>
      <c r="Z516" s="32" t="str">
        <f t="shared" si="415"/>
        <v>-2.64804335742365+7.19882435321553i</v>
      </c>
      <c r="AA516" s="18">
        <f t="shared" si="429"/>
        <v>7.6704110509961918</v>
      </c>
      <c r="AB516" s="18">
        <f t="shared" si="430"/>
        <v>1.9232784108511607</v>
      </c>
      <c r="AC516" s="68" t="str">
        <f t="shared" si="431"/>
        <v>-0.0761385474674355+0.0367074879208168i</v>
      </c>
      <c r="AD516" s="66">
        <f t="shared" si="432"/>
        <v>-21.460270604063062</v>
      </c>
      <c r="AE516" s="63">
        <f t="shared" si="433"/>
        <v>154.26061594790414</v>
      </c>
      <c r="AF516" s="51" t="e">
        <f t="shared" si="434"/>
        <v>#NUM!</v>
      </c>
      <c r="AG516" s="51" t="str">
        <f t="shared" si="416"/>
        <v>1-4500.29653871651i</v>
      </c>
      <c r="AH516" s="51">
        <f t="shared" si="435"/>
        <v>4500.2966498202986</v>
      </c>
      <c r="AI516" s="51">
        <f t="shared" si="436"/>
        <v>-1.5705741192192539</v>
      </c>
      <c r="AJ516" s="51" t="str">
        <f t="shared" si="417"/>
        <v>1+6.00039538495533i</v>
      </c>
      <c r="AK516" s="51">
        <f t="shared" si="437"/>
        <v>6.0831525359630119</v>
      </c>
      <c r="AL516" s="51">
        <f t="shared" si="438"/>
        <v>1.4056583347750333</v>
      </c>
      <c r="AM516" s="51" t="e">
        <f t="shared" si="418"/>
        <v>#NUM!</v>
      </c>
      <c r="AN516" s="51" t="e">
        <f t="shared" si="439"/>
        <v>#NUM!</v>
      </c>
      <c r="AO516" s="51" t="e">
        <f t="shared" si="440"/>
        <v>#NUM!</v>
      </c>
      <c r="AP516" s="60" t="e">
        <f t="shared" si="441"/>
        <v>#NUM!</v>
      </c>
      <c r="AQ516" s="51" t="e">
        <f t="shared" si="442"/>
        <v>#NUM!</v>
      </c>
      <c r="AR516" s="63" t="e">
        <f t="shared" si="443"/>
        <v>#NUM!</v>
      </c>
      <c r="AS516" s="32" t="str">
        <f t="shared" si="419"/>
        <v>-0.000170731707317073</v>
      </c>
      <c r="AT516" s="32" t="str">
        <f t="shared" si="420"/>
        <v>0.228015024628303i</v>
      </c>
      <c r="AU516" s="32">
        <f t="shared" si="444"/>
        <v>0.228015024628303</v>
      </c>
      <c r="AV516" s="32">
        <f t="shared" si="445"/>
        <v>1.5707963267948966</v>
      </c>
      <c r="AW516" s="32" t="str">
        <f t="shared" si="421"/>
        <v>1+48.5463567671227i</v>
      </c>
      <c r="AX516" s="32">
        <f t="shared" si="446"/>
        <v>48.5566551088598</v>
      </c>
      <c r="AY516" s="32">
        <f t="shared" si="447"/>
        <v>1.5502003714072508</v>
      </c>
      <c r="AZ516" s="32" t="str">
        <f t="shared" si="422"/>
        <v>1+922.380778575334i</v>
      </c>
      <c r="BA516" s="32">
        <f t="shared" si="448"/>
        <v>922.38132065065122</v>
      </c>
      <c r="BB516" s="32">
        <f t="shared" si="449"/>
        <v>1.5697121762667923</v>
      </c>
      <c r="BC516" s="60" t="str">
        <f t="shared" si="450"/>
        <v>-0.000277512367423196+0.014220988331597i</v>
      </c>
      <c r="BD516" s="51">
        <f t="shared" si="451"/>
        <v>-36.939750888624118</v>
      </c>
      <c r="BE516" s="63">
        <f t="shared" si="452"/>
        <v>91.117944069134552</v>
      </c>
      <c r="BF516" s="60" t="str">
        <f t="shared" si="453"/>
        <v>-0.000500887368844322-0.00109295217699421i</v>
      </c>
      <c r="BG516" s="66">
        <f t="shared" si="454"/>
        <v>-58.400021492687166</v>
      </c>
      <c r="BH516" s="63">
        <f t="shared" si="455"/>
        <v>-114.62143998296128</v>
      </c>
      <c r="BI516" s="60" t="e">
        <f t="shared" si="460"/>
        <v>#NUM!</v>
      </c>
      <c r="BJ516" s="66" t="e">
        <f t="shared" si="456"/>
        <v>#NUM!</v>
      </c>
      <c r="BK516" s="63" t="e">
        <f t="shared" si="461"/>
        <v>#NUM!</v>
      </c>
      <c r="BL516" s="51">
        <f t="shared" si="457"/>
        <v>-58.400021492687166</v>
      </c>
      <c r="BM516" s="63">
        <f t="shared" si="458"/>
        <v>-114.62143998296128</v>
      </c>
    </row>
    <row r="517" spans="14:65" x14ac:dyDescent="0.3">
      <c r="N517" s="11">
        <v>99</v>
      </c>
      <c r="O517" s="52">
        <f t="shared" si="459"/>
        <v>977237.22095581202</v>
      </c>
      <c r="P517" s="50" t="str">
        <f t="shared" si="411"/>
        <v>23.3035714285714</v>
      </c>
      <c r="Q517" s="18" t="str">
        <f t="shared" si="412"/>
        <v>1+3289.3727937528i</v>
      </c>
      <c r="R517" s="18">
        <f t="shared" si="423"/>
        <v>3289.3729457574591</v>
      </c>
      <c r="S517" s="18">
        <f t="shared" si="424"/>
        <v>1.5704923174800838</v>
      </c>
      <c r="T517" s="18" t="str">
        <f t="shared" si="413"/>
        <v>1+6.14016254833857i</v>
      </c>
      <c r="U517" s="18">
        <f t="shared" si="425"/>
        <v>6.2210606909127319</v>
      </c>
      <c r="V517" s="18">
        <f t="shared" si="426"/>
        <v>1.409351621233039</v>
      </c>
      <c r="W517" s="32" t="str">
        <f t="shared" si="414"/>
        <v>1-15.0092862292721i</v>
      </c>
      <c r="X517" s="18">
        <f t="shared" si="427"/>
        <v>15.042562052795962</v>
      </c>
      <c r="Y517" s="18">
        <f t="shared" si="428"/>
        <v>-1.5042692272194851</v>
      </c>
      <c r="Z517" s="32" t="str">
        <f t="shared" si="415"/>
        <v>-2.81997034408576+7.36650651330549i</v>
      </c>
      <c r="AA517" s="18">
        <f t="shared" si="429"/>
        <v>7.8878166150142821</v>
      </c>
      <c r="AB517" s="18">
        <f t="shared" si="430"/>
        <v>1.9363962395490915</v>
      </c>
      <c r="AC517" s="68" t="str">
        <f t="shared" si="431"/>
        <v>-0.0753054338163185+0.0373300117925226i</v>
      </c>
      <c r="AD517" s="66">
        <f t="shared" si="432"/>
        <v>-21.50922373267786</v>
      </c>
      <c r="AE517" s="63">
        <f t="shared" si="433"/>
        <v>153.63170823499595</v>
      </c>
      <c r="AF517" s="51" t="e">
        <f t="shared" si="434"/>
        <v>#NUM!</v>
      </c>
      <c r="AG517" s="51" t="str">
        <f t="shared" si="416"/>
        <v>1-4605.12191125394i</v>
      </c>
      <c r="AH517" s="51">
        <f t="shared" si="435"/>
        <v>4605.1220198286974</v>
      </c>
      <c r="AI517" s="51">
        <f t="shared" si="436"/>
        <v>-1.5705791772810394</v>
      </c>
      <c r="AJ517" s="51" t="str">
        <f t="shared" si="417"/>
        <v>1+6.14016254833857i</v>
      </c>
      <c r="AK517" s="51">
        <f t="shared" si="437"/>
        <v>6.2210606909127319</v>
      </c>
      <c r="AL517" s="51">
        <f t="shared" si="438"/>
        <v>1.409351621233039</v>
      </c>
      <c r="AM517" s="51" t="e">
        <f t="shared" si="418"/>
        <v>#NUM!</v>
      </c>
      <c r="AN517" s="51" t="e">
        <f t="shared" si="439"/>
        <v>#NUM!</v>
      </c>
      <c r="AO517" s="51" t="e">
        <f t="shared" si="440"/>
        <v>#NUM!</v>
      </c>
      <c r="AP517" s="60" t="e">
        <f t="shared" si="441"/>
        <v>#NUM!</v>
      </c>
      <c r="AQ517" s="51" t="e">
        <f t="shared" si="442"/>
        <v>#NUM!</v>
      </c>
      <c r="AR517" s="63" t="e">
        <f t="shared" si="443"/>
        <v>#NUM!</v>
      </c>
      <c r="AS517" s="32" t="str">
        <f t="shared" si="419"/>
        <v>-0.000170731707317073</v>
      </c>
      <c r="AT517" s="32" t="str">
        <f t="shared" si="420"/>
        <v>0.233326176836866i</v>
      </c>
      <c r="AU517" s="32">
        <f t="shared" si="444"/>
        <v>0.23332617683686599</v>
      </c>
      <c r="AV517" s="32">
        <f t="shared" si="445"/>
        <v>1.5707963267948966</v>
      </c>
      <c r="AW517" s="32" t="str">
        <f t="shared" si="421"/>
        <v>1+49.6771466805581i</v>
      </c>
      <c r="AX517" s="32">
        <f t="shared" si="446"/>
        <v>49.687210651451196</v>
      </c>
      <c r="AY517" s="32">
        <f t="shared" si="447"/>
        <v>1.5506690645102876</v>
      </c>
      <c r="AZ517" s="32" t="str">
        <f t="shared" si="422"/>
        <v>1+943.865786930605i</v>
      </c>
      <c r="BA517" s="32">
        <f t="shared" si="448"/>
        <v>943.86631666678852</v>
      </c>
      <c r="BB517" s="32">
        <f t="shared" si="449"/>
        <v>1.5697368545270316</v>
      </c>
      <c r="BC517" s="60" t="str">
        <f t="shared" si="450"/>
        <v>-0.000265027312563897+0.0138975304403273i</v>
      </c>
      <c r="BD517" s="51">
        <f t="shared" si="451"/>
        <v>-37.139668214463846</v>
      </c>
      <c r="BE517" s="63">
        <f t="shared" si="452"/>
        <v>91.092503892601115</v>
      </c>
      <c r="BF517" s="60" t="str">
        <f t="shared" si="453"/>
        <v>-0.000498836978478563-0.00105645303148769i</v>
      </c>
      <c r="BG517" s="66">
        <f t="shared" si="454"/>
        <v>-58.648891947141706</v>
      </c>
      <c r="BH517" s="63">
        <f t="shared" si="455"/>
        <v>-115.27578787240293</v>
      </c>
      <c r="BI517" s="60" t="e">
        <f t="shared" si="460"/>
        <v>#NUM!</v>
      </c>
      <c r="BJ517" s="66" t="e">
        <f t="shared" si="456"/>
        <v>#NUM!</v>
      </c>
      <c r="BK517" s="63" t="e">
        <f t="shared" si="461"/>
        <v>#NUM!</v>
      </c>
      <c r="BL517" s="51">
        <f t="shared" si="457"/>
        <v>-58.648891947141706</v>
      </c>
      <c r="BM517" s="63">
        <f t="shared" si="458"/>
        <v>-115.27578787240293</v>
      </c>
    </row>
    <row r="518" spans="14:65" x14ac:dyDescent="0.3">
      <c r="N518" s="11">
        <v>100</v>
      </c>
      <c r="O518" s="52">
        <f t="shared" si="459"/>
        <v>1000000</v>
      </c>
      <c r="P518" s="50" t="str">
        <f t="shared" si="411"/>
        <v>23.3035714285714</v>
      </c>
      <c r="Q518" s="18" t="str">
        <f t="shared" si="412"/>
        <v>1+3365.9921288462i</v>
      </c>
      <c r="R518" s="18">
        <f t="shared" si="423"/>
        <v>3365.9922773908106</v>
      </c>
      <c r="S518" s="18">
        <f t="shared" si="424"/>
        <v>1.5704992375765323</v>
      </c>
      <c r="T518" s="18" t="str">
        <f t="shared" si="413"/>
        <v>1+6.28318530717959i</v>
      </c>
      <c r="U518" s="18">
        <f t="shared" si="425"/>
        <v>6.362265131567332</v>
      </c>
      <c r="V518" s="18">
        <f t="shared" si="426"/>
        <v>1.4129651365067379</v>
      </c>
      <c r="W518" s="32" t="str">
        <f t="shared" si="414"/>
        <v>1-15.3588974175501i</v>
      </c>
      <c r="X518" s="18">
        <f t="shared" si="427"/>
        <v>15.391417409804308</v>
      </c>
      <c r="Y518" s="18">
        <f t="shared" si="428"/>
        <v>-1.5057792554254545</v>
      </c>
      <c r="Z518" s="32" t="str">
        <f t="shared" si="415"/>
        <v>-3.00000000000001+7.53809449265603i</v>
      </c>
      <c r="AA518" s="18">
        <f t="shared" si="429"/>
        <v>8.1131293950122121</v>
      </c>
      <c r="AB518" s="18">
        <f t="shared" si="430"/>
        <v>1.949558870439978</v>
      </c>
      <c r="AC518" s="68" t="str">
        <f t="shared" si="431"/>
        <v>-0.074453176134482+0.0379396027442208i</v>
      </c>
      <c r="AD518" s="66">
        <f t="shared" si="432"/>
        <v>-21.559773071077757</v>
      </c>
      <c r="AE518" s="63">
        <f t="shared" si="433"/>
        <v>152.99766947658048</v>
      </c>
      <c r="AF518" s="51" t="e">
        <f t="shared" si="434"/>
        <v>#NUM!</v>
      </c>
      <c r="AG518" s="51" t="str">
        <f t="shared" si="416"/>
        <v>1-4712.3889803847i</v>
      </c>
      <c r="AH518" s="51">
        <f t="shared" si="435"/>
        <v>4712.3890864879941</v>
      </c>
      <c r="AI518" s="51">
        <f t="shared" si="436"/>
        <v>-1.5705841202072928</v>
      </c>
      <c r="AJ518" s="51" t="str">
        <f t="shared" si="417"/>
        <v>1+6.28318530717959i</v>
      </c>
      <c r="AK518" s="51">
        <f t="shared" si="437"/>
        <v>6.362265131567332</v>
      </c>
      <c r="AL518" s="51">
        <f t="shared" si="438"/>
        <v>1.4129651365067379</v>
      </c>
      <c r="AM518" s="51" t="e">
        <f t="shared" si="418"/>
        <v>#NUM!</v>
      </c>
      <c r="AN518" s="51" t="e">
        <f t="shared" si="439"/>
        <v>#NUM!</v>
      </c>
      <c r="AO518" s="51" t="e">
        <f t="shared" si="440"/>
        <v>#NUM!</v>
      </c>
      <c r="AP518" s="60" t="e">
        <f t="shared" si="441"/>
        <v>#NUM!</v>
      </c>
      <c r="AQ518" s="51" t="e">
        <f t="shared" si="442"/>
        <v>#NUM!</v>
      </c>
      <c r="AR518" s="63" t="e">
        <f t="shared" si="443"/>
        <v>#NUM!</v>
      </c>
      <c r="AS518" s="32" t="str">
        <f t="shared" si="419"/>
        <v>-0.000170731707317073</v>
      </c>
      <c r="AT518" s="32" t="str">
        <f t="shared" si="420"/>
        <v>0.238761041672824i</v>
      </c>
      <c r="AU518" s="32">
        <f t="shared" si="444"/>
        <v>0.238761041672824</v>
      </c>
      <c r="AV518" s="32">
        <f t="shared" si="445"/>
        <v>1.5707963267948966</v>
      </c>
      <c r="AW518" s="32" t="str">
        <f t="shared" si="421"/>
        <v>1+50.8342760747182i</v>
      </c>
      <c r="AX518" s="32">
        <f t="shared" si="446"/>
        <v>50.844111006493826</v>
      </c>
      <c r="AY518" s="32">
        <f t="shared" si="447"/>
        <v>1.5511270974018034</v>
      </c>
      <c r="AZ518" s="32" t="str">
        <f t="shared" si="422"/>
        <v>1+965.851245419647i</v>
      </c>
      <c r="BA518" s="32">
        <f t="shared" si="448"/>
        <v>965.85176309756935</v>
      </c>
      <c r="BB518" s="32">
        <f t="shared" si="449"/>
        <v>1.5697609710427332</v>
      </c>
      <c r="BC518" s="60" t="str">
        <f t="shared" si="450"/>
        <v>-0.000253103732759426+0.0135814185835299i</v>
      </c>
      <c r="BD518" s="51">
        <f t="shared" si="451"/>
        <v>-37.339589259776382</v>
      </c>
      <c r="BE518" s="63">
        <f t="shared" si="452"/>
        <v>91.06764231560534</v>
      </c>
      <c r="BF518" s="60" t="str">
        <f t="shared" si="453"/>
        <v>-0.00049642924896667-0.00102078240502965i</v>
      </c>
      <c r="BG518" s="66">
        <f t="shared" si="454"/>
        <v>-58.899362330854146</v>
      </c>
      <c r="BH518" s="63">
        <f t="shared" si="455"/>
        <v>-115.93468820781419</v>
      </c>
      <c r="BI518" s="60" t="e">
        <f t="shared" si="460"/>
        <v>#NUM!</v>
      </c>
      <c r="BJ518" s="66" t="e">
        <f t="shared" si="456"/>
        <v>#NUM!</v>
      </c>
      <c r="BK518" s="63" t="e">
        <f t="shared" si="461"/>
        <v>#NUM!</v>
      </c>
      <c r="BL518" s="51">
        <f t="shared" si="457"/>
        <v>-58.899362330854146</v>
      </c>
      <c r="BM518" s="63">
        <f t="shared" si="458"/>
        <v>-115.93468820781419</v>
      </c>
    </row>
    <row r="519" spans="14:65" x14ac:dyDescent="0.3">
      <c r="N519" s="11">
        <v>1</v>
      </c>
      <c r="O519" s="52">
        <f>10^(6+(N519/100))</f>
        <v>1023292.9922807553</v>
      </c>
      <c r="P519" s="50" t="str">
        <f t="shared" si="411"/>
        <v>23.3035714285714</v>
      </c>
      <c r="Q519" s="18" t="str">
        <f t="shared" si="412"/>
        <v>1+3444.3961575205i</v>
      </c>
      <c r="R519" s="18">
        <f t="shared" si="423"/>
        <v>3444.3963026838223</v>
      </c>
      <c r="S519" s="18">
        <f t="shared" si="424"/>
        <v>1.5705060001523818</v>
      </c>
      <c r="T519" s="18" t="str">
        <f t="shared" si="413"/>
        <v>1+6.42953949403828i</v>
      </c>
      <c r="U519" s="18">
        <f t="shared" si="425"/>
        <v>6.5068408698382978</v>
      </c>
      <c r="V519" s="18">
        <f t="shared" si="426"/>
        <v>1.4165004188699757</v>
      </c>
      <c r="W519" s="32" t="str">
        <f t="shared" si="414"/>
        <v>1-15.716652096538i</v>
      </c>
      <c r="X519" s="18">
        <f t="shared" si="427"/>
        <v>15.74843335457887</v>
      </c>
      <c r="Y519" s="18">
        <f t="shared" si="428"/>
        <v>-1.507255198158336</v>
      </c>
      <c r="Z519" s="32" t="str">
        <f t="shared" si="415"/>
        <v>-3.18851419220362+7.71367926948507i</v>
      </c>
      <c r="AA519" s="18">
        <f t="shared" si="429"/>
        <v>8.3467041774803317</v>
      </c>
      <c r="AB519" s="18">
        <f t="shared" si="430"/>
        <v>1.9627652690130313</v>
      </c>
      <c r="AC519" s="68" t="str">
        <f t="shared" si="431"/>
        <v>-0.0735819347531552+0.0385354261932319i</v>
      </c>
      <c r="AD519" s="66">
        <f t="shared" si="432"/>
        <v>-21.611962171060696</v>
      </c>
      <c r="AE519" s="63">
        <f t="shared" si="433"/>
        <v>152.35860257812564</v>
      </c>
      <c r="AF519" s="51" t="e">
        <f t="shared" si="434"/>
        <v>#NUM!</v>
      </c>
      <c r="AG519" s="51" t="str">
        <f t="shared" si="416"/>
        <v>1-4822.15462052872i</v>
      </c>
      <c r="AH519" s="51">
        <f t="shared" si="435"/>
        <v>4822.154724216809</v>
      </c>
      <c r="AI519" s="51">
        <f t="shared" si="436"/>
        <v>-1.570588950618818</v>
      </c>
      <c r="AJ519" s="51" t="str">
        <f t="shared" si="417"/>
        <v>1+6.42953949403828i</v>
      </c>
      <c r="AK519" s="51">
        <f t="shared" si="437"/>
        <v>6.5068408698382978</v>
      </c>
      <c r="AL519" s="51">
        <f t="shared" si="438"/>
        <v>1.4165004188699757</v>
      </c>
      <c r="AM519" s="51" t="e">
        <f t="shared" si="418"/>
        <v>#NUM!</v>
      </c>
      <c r="AN519" s="51" t="e">
        <f t="shared" si="439"/>
        <v>#NUM!</v>
      </c>
      <c r="AO519" s="51" t="e">
        <f t="shared" si="440"/>
        <v>#NUM!</v>
      </c>
      <c r="AP519" s="60" t="e">
        <f t="shared" si="441"/>
        <v>#NUM!</v>
      </c>
      <c r="AQ519" s="51" t="e">
        <f t="shared" si="442"/>
        <v>#NUM!</v>
      </c>
      <c r="AR519" s="63" t="e">
        <f t="shared" si="443"/>
        <v>#NUM!</v>
      </c>
      <c r="AS519" s="32" t="str">
        <f t="shared" si="419"/>
        <v>-0.000170731707317073</v>
      </c>
      <c r="AT519" s="32" t="str">
        <f t="shared" si="420"/>
        <v>0.244322500773454i</v>
      </c>
      <c r="AU519" s="32">
        <f t="shared" si="444"/>
        <v>0.24432250077345399</v>
      </c>
      <c r="AV519" s="32">
        <f t="shared" si="445"/>
        <v>1.5707963267948966</v>
      </c>
      <c r="AW519" s="32" t="str">
        <f t="shared" si="421"/>
        <v>1+52.0183584749244i</v>
      </c>
      <c r="AX519" s="32">
        <f t="shared" si="446"/>
        <v>52.027969578158043</v>
      </c>
      <c r="AY519" s="32">
        <f t="shared" si="447"/>
        <v>1.5515747121677184</v>
      </c>
      <c r="AZ519" s="32" t="str">
        <f t="shared" si="422"/>
        <v>1+988.348811023565i</v>
      </c>
      <c r="BA519" s="32">
        <f t="shared" si="448"/>
        <v>988.34931691770532</v>
      </c>
      <c r="BB519" s="32">
        <f t="shared" si="449"/>
        <v>1.5697845386006801</v>
      </c>
      <c r="BC519" s="60" t="str">
        <f t="shared" si="450"/>
        <v>-0.000241716396600561+0.0132724866631545i</v>
      </c>
      <c r="BD519" s="51">
        <f t="shared" si="451"/>
        <v>-37.539513857287879</v>
      </c>
      <c r="BE519" s="63">
        <f t="shared" si="452"/>
        <v>91.043346200274485</v>
      </c>
      <c r="BF519" s="60" t="str">
        <f t="shared" si="453"/>
        <v>-0.000493674970085215-0.000985929892021252i</v>
      </c>
      <c r="BG519" s="66">
        <f t="shared" si="454"/>
        <v>-59.151476028348569</v>
      </c>
      <c r="BH519" s="63">
        <f t="shared" si="455"/>
        <v>-116.59805122159986</v>
      </c>
      <c r="BI519" s="60" t="e">
        <f t="shared" si="460"/>
        <v>#NUM!</v>
      </c>
      <c r="BJ519" s="66" t="e">
        <f t="shared" si="456"/>
        <v>#NUM!</v>
      </c>
      <c r="BK519" s="63" t="e">
        <f t="shared" si="461"/>
        <v>#NUM!</v>
      </c>
      <c r="BL519" s="51">
        <f t="shared" si="457"/>
        <v>-59.151476028348569</v>
      </c>
      <c r="BM519" s="63">
        <f t="shared" si="458"/>
        <v>-116.59805122159986</v>
      </c>
    </row>
    <row r="520" spans="14:65" x14ac:dyDescent="0.3">
      <c r="N520" s="11">
        <v>2</v>
      </c>
      <c r="O520" s="52">
        <f t="shared" ref="O520:O560" si="462">10^(6+(N520/100))</f>
        <v>1047128.5480509007</v>
      </c>
      <c r="P520" s="50" t="str">
        <f t="shared" si="411"/>
        <v>23.3035714285714</v>
      </c>
      <c r="Q520" s="18" t="str">
        <f t="shared" si="412"/>
        <v>1+3524.62645062948i</v>
      </c>
      <c r="R520" s="18">
        <f t="shared" si="423"/>
        <v>3524.6265924884819</v>
      </c>
      <c r="S520" s="18">
        <f t="shared" si="424"/>
        <v>1.5705126087932373</v>
      </c>
      <c r="T520" s="18" t="str">
        <f t="shared" si="413"/>
        <v>1+6.57930270784171i</v>
      </c>
      <c r="U520" s="18">
        <f t="shared" si="425"/>
        <v>6.6548646959508702</v>
      </c>
      <c r="V520" s="18">
        <f t="shared" si="426"/>
        <v>1.4199589891173572</v>
      </c>
      <c r="W520" s="32" t="str">
        <f t="shared" si="414"/>
        <v>1-16.082739952502i</v>
      </c>
      <c r="X520" s="18">
        <f t="shared" si="427"/>
        <v>16.113799191370234</v>
      </c>
      <c r="Y520" s="18">
        <f t="shared" si="428"/>
        <v>-1.5086978122463746</v>
      </c>
      <c r="Z520" s="32" t="str">
        <f t="shared" si="415"/>
        <v>-3.38591278457276+7.89335394116539i</v>
      </c>
      <c r="AA520" s="18">
        <f t="shared" si="429"/>
        <v>8.588913890897059</v>
      </c>
      <c r="AB520" s="18">
        <f t="shared" si="430"/>
        <v>1.976014168290088</v>
      </c>
      <c r="AC520" s="68" t="str">
        <f t="shared" si="431"/>
        <v>-0.0726919226411973+0.0391166386390377i</v>
      </c>
      <c r="AD520" s="66">
        <f t="shared" si="432"/>
        <v>-21.665834007497757</v>
      </c>
      <c r="AE520" s="63">
        <f t="shared" si="433"/>
        <v>151.71462369874081</v>
      </c>
      <c r="AF520" s="51" t="e">
        <f t="shared" si="434"/>
        <v>#NUM!</v>
      </c>
      <c r="AG520" s="51" t="str">
        <f t="shared" si="416"/>
        <v>1-4934.47703088129i</v>
      </c>
      <c r="AH520" s="51">
        <f t="shared" si="435"/>
        <v>4934.4771322091501</v>
      </c>
      <c r="AI520" s="51">
        <f t="shared" si="436"/>
        <v>-1.5705936710767623</v>
      </c>
      <c r="AJ520" s="51" t="str">
        <f t="shared" si="417"/>
        <v>1+6.57930270784171i</v>
      </c>
      <c r="AK520" s="51">
        <f t="shared" si="437"/>
        <v>6.6548646959508702</v>
      </c>
      <c r="AL520" s="51">
        <f t="shared" si="438"/>
        <v>1.4199589891173572</v>
      </c>
      <c r="AM520" s="51" t="e">
        <f t="shared" si="418"/>
        <v>#NUM!</v>
      </c>
      <c r="AN520" s="51" t="e">
        <f t="shared" si="439"/>
        <v>#NUM!</v>
      </c>
      <c r="AO520" s="51" t="e">
        <f t="shared" si="440"/>
        <v>#NUM!</v>
      </c>
      <c r="AP520" s="60" t="e">
        <f t="shared" si="441"/>
        <v>#NUM!</v>
      </c>
      <c r="AQ520" s="51" t="e">
        <f t="shared" si="442"/>
        <v>#NUM!</v>
      </c>
      <c r="AR520" s="63" t="e">
        <f t="shared" si="443"/>
        <v>#NUM!</v>
      </c>
      <c r="AS520" s="32" t="str">
        <f t="shared" si="419"/>
        <v>-0.000170731707317073</v>
      </c>
      <c r="AT520" s="32" t="str">
        <f t="shared" si="420"/>
        <v>0.250013502897985i</v>
      </c>
      <c r="AU520" s="32">
        <f t="shared" si="444"/>
        <v>0.25001350289798502</v>
      </c>
      <c r="AV520" s="32">
        <f t="shared" si="445"/>
        <v>1.5707963267948966</v>
      </c>
      <c r="AW520" s="32" t="str">
        <f t="shared" si="421"/>
        <v>1+53.2300216973382i</v>
      </c>
      <c r="AX520" s="32">
        <f t="shared" si="446"/>
        <v>53.239414064197732</v>
      </c>
      <c r="AY520" s="32">
        <f t="shared" si="447"/>
        <v>1.5520121454214253</v>
      </c>
      <c r="AZ520" s="32" t="str">
        <f t="shared" si="422"/>
        <v>1+1011.37041224943i</v>
      </c>
      <c r="BA520" s="32">
        <f t="shared" si="448"/>
        <v>1011.3709066280194</v>
      </c>
      <c r="BB520" s="32">
        <f t="shared" si="449"/>
        <v>1.569807569696599</v>
      </c>
      <c r="BC520" s="60" t="str">
        <f t="shared" si="450"/>
        <v>-0.00023084120483832+0.0129705722874787i</v>
      </c>
      <c r="BD520" s="51">
        <f t="shared" si="451"/>
        <v>-37.739441847241451</v>
      </c>
      <c r="BE520" s="63">
        <f t="shared" si="452"/>
        <v>91.019602705612101</v>
      </c>
      <c r="BF520" s="60" t="str">
        <f t="shared" si="453"/>
        <v>-0.000490584898106313-0.00095188556932612i</v>
      </c>
      <c r="BG520" s="66">
        <f t="shared" si="454"/>
        <v>-59.405275854739216</v>
      </c>
      <c r="BH520" s="63">
        <f t="shared" si="455"/>
        <v>-117.26577359564709</v>
      </c>
      <c r="BI520" s="60" t="e">
        <f t="shared" si="460"/>
        <v>#NUM!</v>
      </c>
      <c r="BJ520" s="66" t="e">
        <f t="shared" si="456"/>
        <v>#NUM!</v>
      </c>
      <c r="BK520" s="63" t="e">
        <f t="shared" si="461"/>
        <v>#NUM!</v>
      </c>
      <c r="BL520" s="51">
        <f t="shared" si="457"/>
        <v>-59.405275854739216</v>
      </c>
      <c r="BM520" s="63">
        <f t="shared" si="458"/>
        <v>-117.26577359564709</v>
      </c>
    </row>
    <row r="521" spans="14:65" x14ac:dyDescent="0.3">
      <c r="N521" s="11">
        <v>3</v>
      </c>
      <c r="O521" s="52">
        <f t="shared" si="462"/>
        <v>1071519.3052376076</v>
      </c>
      <c r="P521" s="50" t="str">
        <f t="shared" si="411"/>
        <v>23.3035714285714</v>
      </c>
      <c r="Q521" s="18" t="str">
        <f t="shared" si="412"/>
        <v>1+3606.72554733653i</v>
      </c>
      <c r="R521" s="18">
        <f t="shared" si="423"/>
        <v>3606.7256859664267</v>
      </c>
      <c r="S521" s="18">
        <f t="shared" si="424"/>
        <v>1.5705190670030851</v>
      </c>
      <c r="T521" s="18" t="str">
        <f t="shared" si="413"/>
        <v>1+6.73255435502821i</v>
      </c>
      <c r="U521" s="18">
        <f t="shared" si="425"/>
        <v>6.8064152197327275</v>
      </c>
      <c r="V521" s="18">
        <f t="shared" si="426"/>
        <v>1.4233423498950168</v>
      </c>
      <c r="W521" s="32" t="str">
        <f t="shared" si="414"/>
        <v>1-16.457355090069i</v>
      </c>
      <c r="X521" s="18">
        <f t="shared" si="427"/>
        <v>16.487708651010912</v>
      </c>
      <c r="Y521" s="18">
        <f t="shared" si="428"/>
        <v>-1.5101078385509044</v>
      </c>
      <c r="Z521" s="32" t="str">
        <f t="shared" si="415"/>
        <v>-3.59261448598754+8.07721377358622i</v>
      </c>
      <c r="AA521" s="18">
        <f t="shared" si="429"/>
        <v>8.8401505184662135</v>
      </c>
      <c r="AB521" s="18">
        <f t="shared" si="430"/>
        <v>1.989304067281447</v>
      </c>
      <c r="AC521" s="68" t="str">
        <f t="shared" si="431"/>
        <v>-0.071783406864695+0.0396823910514914i</v>
      </c>
      <c r="AD521" s="66">
        <f t="shared" si="432"/>
        <v>-21.721430877264471</v>
      </c>
      <c r="AE521" s="63">
        <f t="shared" si="433"/>
        <v>151.06586228509119</v>
      </c>
      <c r="AF521" s="51" t="e">
        <f t="shared" si="434"/>
        <v>#NUM!</v>
      </c>
      <c r="AG521" s="51" t="str">
        <f t="shared" si="416"/>
        <v>1-5049.41576627117i</v>
      </c>
      <c r="AH521" s="51">
        <f t="shared" si="435"/>
        <v>5049.4158652925253</v>
      </c>
      <c r="AI521" s="51">
        <f t="shared" si="436"/>
        <v>-1.5705982840839743</v>
      </c>
      <c r="AJ521" s="51" t="str">
        <f t="shared" si="417"/>
        <v>1+6.73255435502821i</v>
      </c>
      <c r="AK521" s="51">
        <f t="shared" si="437"/>
        <v>6.8064152197327275</v>
      </c>
      <c r="AL521" s="51">
        <f t="shared" si="438"/>
        <v>1.4233423498950168</v>
      </c>
      <c r="AM521" s="51" t="e">
        <f t="shared" si="418"/>
        <v>#NUM!</v>
      </c>
      <c r="AN521" s="51" t="e">
        <f t="shared" si="439"/>
        <v>#NUM!</v>
      </c>
      <c r="AO521" s="51" t="e">
        <f t="shared" si="440"/>
        <v>#NUM!</v>
      </c>
      <c r="AP521" s="60" t="e">
        <f t="shared" si="441"/>
        <v>#NUM!</v>
      </c>
      <c r="AQ521" s="51" t="e">
        <f t="shared" si="442"/>
        <v>#NUM!</v>
      </c>
      <c r="AR521" s="63" t="e">
        <f t="shared" si="443"/>
        <v>#NUM!</v>
      </c>
      <c r="AS521" s="32" t="str">
        <f t="shared" si="419"/>
        <v>-0.000170731707317073</v>
      </c>
      <c r="AT521" s="32" t="str">
        <f t="shared" si="420"/>
        <v>0.255837065491072i</v>
      </c>
      <c r="AU521" s="32">
        <f t="shared" si="444"/>
        <v>0.25583706549107199</v>
      </c>
      <c r="AV521" s="32">
        <f t="shared" si="445"/>
        <v>1.5707963267948966</v>
      </c>
      <c r="AW521" s="32" t="str">
        <f t="shared" si="421"/>
        <v>1+54.4699081818387i</v>
      </c>
      <c r="AX521" s="32">
        <f t="shared" si="446"/>
        <v>54.479086788766374</v>
      </c>
      <c r="AY521" s="32">
        <f t="shared" si="447"/>
        <v>1.5524396284258264</v>
      </c>
      <c r="AZ521" s="32" t="str">
        <f t="shared" si="422"/>
        <v>1+1034.92825545494i</v>
      </c>
      <c r="BA521" s="32">
        <f t="shared" si="448"/>
        <v>1034.928738580104</v>
      </c>
      <c r="BB521" s="32">
        <f t="shared" si="449"/>
        <v>1.5698300765417839</v>
      </c>
      <c r="BC521" s="60" t="str">
        <f t="shared" si="450"/>
        <v>-0.000220455139730695+0.0126755166917043i</v>
      </c>
      <c r="BD521" s="51">
        <f t="shared" si="451"/>
        <v>-37.939373077060139</v>
      </c>
      <c r="BE521" s="63">
        <f t="shared" si="452"/>
        <v>90.996399280885612</v>
      </c>
      <c r="BF521" s="60" t="str">
        <f t="shared" si="453"/>
        <v>-0.000487169789149215-0.000918639958964947i</v>
      </c>
      <c r="BG521" s="66">
        <f t="shared" si="454"/>
        <v>-59.660803954324606</v>
      </c>
      <c r="BH521" s="63">
        <f t="shared" si="455"/>
        <v>-117.93773843402323</v>
      </c>
      <c r="BI521" s="60" t="e">
        <f t="shared" si="460"/>
        <v>#NUM!</v>
      </c>
      <c r="BJ521" s="66" t="e">
        <f t="shared" si="456"/>
        <v>#NUM!</v>
      </c>
      <c r="BK521" s="63" t="e">
        <f t="shared" si="461"/>
        <v>#NUM!</v>
      </c>
      <c r="BL521" s="51">
        <f t="shared" si="457"/>
        <v>-59.660803954324606</v>
      </c>
      <c r="BM521" s="63">
        <f t="shared" si="458"/>
        <v>-117.93773843402323</v>
      </c>
    </row>
    <row r="522" spans="14:65" x14ac:dyDescent="0.3">
      <c r="N522" s="11">
        <v>4</v>
      </c>
      <c r="O522" s="52">
        <f t="shared" si="462"/>
        <v>1096478.196143186</v>
      </c>
      <c r="P522" s="50" t="str">
        <f t="shared" si="411"/>
        <v>23.3035714285714</v>
      </c>
      <c r="Q522" s="18" t="str">
        <f t="shared" si="412"/>
        <v>1+3690.73697766944i</v>
      </c>
      <c r="R522" s="18">
        <f t="shared" si="423"/>
        <v>3690.7371131437353</v>
      </c>
      <c r="S522" s="18">
        <f t="shared" si="424"/>
        <v>1.5705253782061515</v>
      </c>
      <c r="T522" s="18" t="str">
        <f t="shared" si="413"/>
        <v>1+6.88937569164964i</v>
      </c>
      <c r="U522" s="18">
        <f t="shared" si="425"/>
        <v>6.9615729128332022</v>
      </c>
      <c r="V522" s="18">
        <f t="shared" si="426"/>
        <v>1.4266519851071999</v>
      </c>
      <c r="W522" s="32" t="str">
        <f t="shared" si="414"/>
        <v>1-16.8406961351436i</v>
      </c>
      <c r="X522" s="18">
        <f t="shared" si="427"/>
        <v>16.870359993676502</v>
      </c>
      <c r="Y522" s="18">
        <f t="shared" si="428"/>
        <v>-1.5114860022468515</v>
      </c>
      <c r="Z522" s="32" t="str">
        <f t="shared" si="415"/>
        <v>-3.80905773846967+8.26535625166436i</v>
      </c>
      <c r="AA522" s="18">
        <f t="shared" si="429"/>
        <v>9.1008260516242565</v>
      </c>
      <c r="AB522" s="18">
        <f t="shared" si="430"/>
        <v>2.0026332302929828</v>
      </c>
      <c r="AC522" s="68" t="str">
        <f t="shared" si="431"/>
        <v>-0.0708567098144008+0.0402318324551407i</v>
      </c>
      <c r="AD522" s="66">
        <f t="shared" si="432"/>
        <v>-21.778794295251807</v>
      </c>
      <c r="AE522" s="63">
        <f t="shared" si="433"/>
        <v>150.41246106091904</v>
      </c>
      <c r="AF522" s="51" t="e">
        <f t="shared" si="434"/>
        <v>#NUM!</v>
      </c>
      <c r="AG522" s="51" t="str">
        <f t="shared" si="416"/>
        <v>1-5167.03176873724i</v>
      </c>
      <c r="AH522" s="51">
        <f t="shared" si="435"/>
        <v>5167.031865504594</v>
      </c>
      <c r="AI522" s="51">
        <f t="shared" si="436"/>
        <v>-1.5706027920863304</v>
      </c>
      <c r="AJ522" s="51" t="str">
        <f t="shared" si="417"/>
        <v>1+6.88937569164964i</v>
      </c>
      <c r="AK522" s="51">
        <f t="shared" si="437"/>
        <v>6.9615729128332022</v>
      </c>
      <c r="AL522" s="51">
        <f t="shared" si="438"/>
        <v>1.4266519851071999</v>
      </c>
      <c r="AM522" s="51" t="e">
        <f t="shared" si="418"/>
        <v>#NUM!</v>
      </c>
      <c r="AN522" s="51" t="e">
        <f t="shared" si="439"/>
        <v>#NUM!</v>
      </c>
      <c r="AO522" s="51" t="e">
        <f t="shared" si="440"/>
        <v>#NUM!</v>
      </c>
      <c r="AP522" s="60" t="e">
        <f t="shared" si="441"/>
        <v>#NUM!</v>
      </c>
      <c r="AQ522" s="51" t="e">
        <f t="shared" si="442"/>
        <v>#NUM!</v>
      </c>
      <c r="AR522" s="63" t="e">
        <f t="shared" si="443"/>
        <v>#NUM!</v>
      </c>
      <c r="AS522" s="32" t="str">
        <f t="shared" si="419"/>
        <v>-0.000170731707317073</v>
      </c>
      <c r="AT522" s="32" t="str">
        <f t="shared" si="420"/>
        <v>0.261796276282686i</v>
      </c>
      <c r="AU522" s="32">
        <f t="shared" si="444"/>
        <v>0.26179627628268598</v>
      </c>
      <c r="AV522" s="32">
        <f t="shared" si="445"/>
        <v>1.5707963267948966</v>
      </c>
      <c r="AW522" s="32" t="str">
        <f t="shared" si="421"/>
        <v>1+55.7386753326516i</v>
      </c>
      <c r="AX522" s="32">
        <f t="shared" si="446"/>
        <v>55.747645042985852</v>
      </c>
      <c r="AY522" s="32">
        <f t="shared" si="447"/>
        <v>1.5528573872127587</v>
      </c>
      <c r="AZ522" s="32" t="str">
        <f t="shared" si="422"/>
        <v>1+1059.03483132038i</v>
      </c>
      <c r="BA522" s="32">
        <f t="shared" si="448"/>
        <v>1059.0353034482775</v>
      </c>
      <c r="BB522" s="32">
        <f t="shared" si="449"/>
        <v>1.5698520710695709</v>
      </c>
      <c r="BC522" s="60" t="str">
        <f t="shared" si="450"/>
        <v>-0.000210536216642583+0.0123871646600313i</v>
      </c>
      <c r="BD522" s="51">
        <f t="shared" si="451"/>
        <v>-38.139307401024723</v>
      </c>
      <c r="BE522" s="63">
        <f t="shared" si="452"/>
        <v>90.973723659154459</v>
      </c>
      <c r="BF522" s="60" t="str">
        <f t="shared" si="453"/>
        <v>-0.000483440429588554-0.000886183989532742i</v>
      </c>
      <c r="BG522" s="66">
        <f t="shared" si="454"/>
        <v>-59.918101696276523</v>
      </c>
      <c r="BH522" s="63">
        <f t="shared" si="455"/>
        <v>-118.61381527992651</v>
      </c>
      <c r="BI522" s="60" t="e">
        <f t="shared" si="460"/>
        <v>#NUM!</v>
      </c>
      <c r="BJ522" s="66" t="e">
        <f t="shared" si="456"/>
        <v>#NUM!</v>
      </c>
      <c r="BK522" s="63" t="e">
        <f t="shared" si="461"/>
        <v>#NUM!</v>
      </c>
      <c r="BL522" s="51">
        <f t="shared" si="457"/>
        <v>-59.918101696276523</v>
      </c>
      <c r="BM522" s="63">
        <f t="shared" si="458"/>
        <v>-118.61381527992651</v>
      </c>
    </row>
    <row r="523" spans="14:65" x14ac:dyDescent="0.3">
      <c r="N523" s="11">
        <v>5</v>
      </c>
      <c r="O523" s="52">
        <f t="shared" si="462"/>
        <v>1122018.4543019643</v>
      </c>
      <c r="P523" s="50" t="str">
        <f t="shared" si="411"/>
        <v>23.3035714285714</v>
      </c>
      <c r="Q523" s="18" t="str">
        <f t="shared" si="412"/>
        <v>1+3776.70528560059i</v>
      </c>
      <c r="R523" s="18">
        <f t="shared" si="423"/>
        <v>3776.7054179911133</v>
      </c>
      <c r="S523" s="18">
        <f t="shared" si="424"/>
        <v>1.5705315457487179</v>
      </c>
      <c r="T523" s="18" t="str">
        <f t="shared" si="413"/>
        <v>1+7.04984986645445i</v>
      </c>
      <c r="U523" s="18">
        <f t="shared" si="425"/>
        <v>7.1204201518974868</v>
      </c>
      <c r="V523" s="18">
        <f t="shared" si="426"/>
        <v>1.429889359393965</v>
      </c>
      <c r="W523" s="32" t="str">
        <f t="shared" si="414"/>
        <v>1-17.232966340222i</v>
      </c>
      <c r="X523" s="18">
        <f t="shared" si="427"/>
        <v>17.261956114045255</v>
      </c>
      <c r="Y523" s="18">
        <f t="shared" si="428"/>
        <v>-1.51283301310226</v>
      </c>
      <c r="Z523" s="32" t="str">
        <f t="shared" si="415"/>
        <v>-4.03570164717668+8.45788113103206i</v>
      </c>
      <c r="AA523" s="18">
        <f t="shared" si="429"/>
        <v>9.3713734858713611</v>
      </c>
      <c r="AB523" s="18">
        <f t="shared" si="430"/>
        <v>2.0159996871255146</v>
      </c>
      <c r="AC523" s="68" t="str">
        <f t="shared" si="431"/>
        <v>-0.0699122101759427+0.0407641136930725i</v>
      </c>
      <c r="AD523" s="66">
        <f t="shared" si="432"/>
        <v>-21.837964887950939</v>
      </c>
      <c r="AE523" s="63">
        <f t="shared" si="433"/>
        <v>149.75457596957483</v>
      </c>
      <c r="AF523" s="51" t="e">
        <f t="shared" si="434"/>
        <v>#NUM!</v>
      </c>
      <c r="AG523" s="51" t="str">
        <f t="shared" si="416"/>
        <v>1-5287.38739984085i</v>
      </c>
      <c r="AH523" s="51">
        <f t="shared" si="435"/>
        <v>5287.3874944055106</v>
      </c>
      <c r="AI523" s="51">
        <f t="shared" si="436"/>
        <v>-1.5706071974740325</v>
      </c>
      <c r="AJ523" s="51" t="str">
        <f t="shared" si="417"/>
        <v>1+7.04984986645445i</v>
      </c>
      <c r="AK523" s="51">
        <f t="shared" si="437"/>
        <v>7.1204201518974868</v>
      </c>
      <c r="AL523" s="51">
        <f t="shared" si="438"/>
        <v>1.429889359393965</v>
      </c>
      <c r="AM523" s="51" t="e">
        <f t="shared" si="418"/>
        <v>#NUM!</v>
      </c>
      <c r="AN523" s="51" t="e">
        <f t="shared" si="439"/>
        <v>#NUM!</v>
      </c>
      <c r="AO523" s="51" t="e">
        <f t="shared" si="440"/>
        <v>#NUM!</v>
      </c>
      <c r="AP523" s="60" t="e">
        <f t="shared" si="441"/>
        <v>#NUM!</v>
      </c>
      <c r="AQ523" s="51" t="e">
        <f t="shared" si="442"/>
        <v>#NUM!</v>
      </c>
      <c r="AR523" s="63" t="e">
        <f t="shared" si="443"/>
        <v>#NUM!</v>
      </c>
      <c r="AS523" s="32" t="str">
        <f t="shared" si="419"/>
        <v>-0.000170731707317073</v>
      </c>
      <c r="AT523" s="32" t="str">
        <f t="shared" si="420"/>
        <v>0.267894294925269i</v>
      </c>
      <c r="AU523" s="32">
        <f t="shared" si="444"/>
        <v>0.26789429492526901</v>
      </c>
      <c r="AV523" s="32">
        <f t="shared" si="445"/>
        <v>1.5707963267948966</v>
      </c>
      <c r="AW523" s="32" t="str">
        <f t="shared" si="421"/>
        <v>1+57.0369958669146i</v>
      </c>
      <c r="AX523" s="32">
        <f t="shared" si="446"/>
        <v>57.045761433452995</v>
      </c>
      <c r="AY523" s="32">
        <f t="shared" si="447"/>
        <v>1.5532656426998599</v>
      </c>
      <c r="AZ523" s="32" t="str">
        <f t="shared" si="422"/>
        <v>1+1083.70292147138i</v>
      </c>
      <c r="BA523" s="32">
        <f t="shared" si="448"/>
        <v>1083.7033828523395</v>
      </c>
      <c r="BB523" s="32">
        <f t="shared" si="449"/>
        <v>1.5698735649416644</v>
      </c>
      <c r="BC523" s="60" t="str">
        <f t="shared" si="450"/>
        <v>-0.000201063437799901+0.0121053644491984i</v>
      </c>
      <c r="BD523" s="51">
        <f t="shared" si="451"/>
        <v>-38.339244679965468</v>
      </c>
      <c r="BE523" s="63">
        <f t="shared" si="452"/>
        <v>90.95156385093685</v>
      </c>
      <c r="BF523" s="60" t="str">
        <f t="shared" si="453"/>
        <v>-0.000479407663381037-0.000854508956466738i</v>
      </c>
      <c r="BG523" s="66">
        <f t="shared" si="454"/>
        <v>-60.177209567916414</v>
      </c>
      <c r="BH523" s="63">
        <f t="shared" si="455"/>
        <v>-119.29386017948831</v>
      </c>
      <c r="BI523" s="60" t="e">
        <f t="shared" si="460"/>
        <v>#NUM!</v>
      </c>
      <c r="BJ523" s="66" t="e">
        <f t="shared" si="456"/>
        <v>#NUM!</v>
      </c>
      <c r="BK523" s="63" t="e">
        <f t="shared" si="461"/>
        <v>#NUM!</v>
      </c>
      <c r="BL523" s="51">
        <f t="shared" si="457"/>
        <v>-60.177209567916414</v>
      </c>
      <c r="BM523" s="63">
        <f t="shared" si="458"/>
        <v>-119.29386017948831</v>
      </c>
    </row>
    <row r="524" spans="14:65" x14ac:dyDescent="0.3">
      <c r="N524" s="11">
        <v>6</v>
      </c>
      <c r="O524" s="52">
        <f t="shared" si="462"/>
        <v>1148153.6214968837</v>
      </c>
      <c r="P524" s="50" t="str">
        <f t="shared" si="411"/>
        <v>23.3035714285714</v>
      </c>
      <c r="Q524" s="18" t="str">
        <f t="shared" si="412"/>
        <v>1+3864.67605266477i</v>
      </c>
      <c r="R524" s="18">
        <f t="shared" si="423"/>
        <v>3864.6761820417178</v>
      </c>
      <c r="S524" s="18">
        <f t="shared" si="424"/>
        <v>1.570537572900895</v>
      </c>
      <c r="T524" s="18" t="str">
        <f t="shared" si="413"/>
        <v>1+7.21406196497425i</v>
      </c>
      <c r="U524" s="18">
        <f t="shared" si="425"/>
        <v>7.2830412627204106</v>
      </c>
      <c r="V524" s="18">
        <f t="shared" si="426"/>
        <v>1.4330559176755067</v>
      </c>
      <c r="W524" s="32" t="str">
        <f t="shared" si="414"/>
        <v>1-17.6343736921593i</v>
      </c>
      <c r="X524" s="18">
        <f t="shared" si="427"/>
        <v>17.662704648912634</v>
      </c>
      <c r="Y524" s="18">
        <f t="shared" si="428"/>
        <v>-1.514149565756516</v>
      </c>
      <c r="Z524" s="32" t="str">
        <f t="shared" si="415"/>
        <v>-4.27302695422564+8.65489049092873i</v>
      </c>
      <c r="AA524" s="18">
        <f t="shared" si="429"/>
        <v>9.6522478605507942</v>
      </c>
      <c r="AB524" s="18">
        <f t="shared" si="430"/>
        <v>2.0294012342033576</v>
      </c>
      <c r="AC524" s="68" t="str">
        <f t="shared" si="431"/>
        <v>-0.0689503436188174+0.0412783913504333i</v>
      </c>
      <c r="AD524" s="66">
        <f t="shared" si="432"/>
        <v>-21.898982285157938</v>
      </c>
      <c r="AE524" s="63">
        <f t="shared" si="433"/>
        <v>149.09237606720515</v>
      </c>
      <c r="AF524" s="51" t="e">
        <f t="shared" si="434"/>
        <v>#NUM!</v>
      </c>
      <c r="AG524" s="51" t="str">
        <f t="shared" si="416"/>
        <v>1-5410.5464737307i</v>
      </c>
      <c r="AH524" s="51">
        <f t="shared" si="435"/>
        <v>5410.546566142807</v>
      </c>
      <c r="AI524" s="51">
        <f t="shared" si="436"/>
        <v>-1.5706115025828751</v>
      </c>
      <c r="AJ524" s="51" t="str">
        <f t="shared" si="417"/>
        <v>1+7.21406196497425i</v>
      </c>
      <c r="AK524" s="51">
        <f t="shared" si="437"/>
        <v>7.2830412627204106</v>
      </c>
      <c r="AL524" s="51">
        <f t="shared" si="438"/>
        <v>1.4330559176755067</v>
      </c>
      <c r="AM524" s="51" t="e">
        <f t="shared" si="418"/>
        <v>#NUM!</v>
      </c>
      <c r="AN524" s="51" t="e">
        <f t="shared" si="439"/>
        <v>#NUM!</v>
      </c>
      <c r="AO524" s="51" t="e">
        <f t="shared" si="440"/>
        <v>#NUM!</v>
      </c>
      <c r="AP524" s="60" t="e">
        <f t="shared" si="441"/>
        <v>#NUM!</v>
      </c>
      <c r="AQ524" s="51" t="e">
        <f t="shared" si="442"/>
        <v>#NUM!</v>
      </c>
      <c r="AR524" s="63" t="e">
        <f t="shared" si="443"/>
        <v>#NUM!</v>
      </c>
      <c r="AS524" s="32" t="str">
        <f t="shared" si="419"/>
        <v>-0.000170731707317073</v>
      </c>
      <c r="AT524" s="32" t="str">
        <f t="shared" si="420"/>
        <v>0.274134354669022i</v>
      </c>
      <c r="AU524" s="32">
        <f t="shared" si="444"/>
        <v>0.27413435466902197</v>
      </c>
      <c r="AV524" s="32">
        <f t="shared" si="445"/>
        <v>1.5707963267948966</v>
      </c>
      <c r="AW524" s="32" t="str">
        <f t="shared" si="421"/>
        <v>1+58.36555817136i</v>
      </c>
      <c r="AX524" s="32">
        <f t="shared" si="446"/>
        <v>58.374124238864674</v>
      </c>
      <c r="AY524" s="32">
        <f t="shared" si="447"/>
        <v>1.553664610804921</v>
      </c>
      <c r="AZ524" s="32" t="str">
        <f t="shared" si="422"/>
        <v>1+1108.94560525584i</v>
      </c>
      <c r="BA524" s="32">
        <f t="shared" si="448"/>
        <v>1108.9460561344908</v>
      </c>
      <c r="BB524" s="32">
        <f t="shared" si="449"/>
        <v>1.5698945695543205</v>
      </c>
      <c r="BC524" s="60" t="str">
        <f t="shared" si="450"/>
        <v>-0.000192016748102954+0.0118299677134747i</v>
      </c>
      <c r="BD524" s="51">
        <f t="shared" si="451"/>
        <v>-38.539184780968625</v>
      </c>
      <c r="BE524" s="63">
        <f t="shared" si="452"/>
        <v>90.92990813801201</v>
      </c>
      <c r="BF524" s="60" t="str">
        <f t="shared" si="453"/>
        <v>-0.000475082416177533-0.000823606481317627i</v>
      </c>
      <c r="BG524" s="66">
        <f t="shared" si="454"/>
        <v>-60.43816706612656</v>
      </c>
      <c r="BH524" s="63">
        <f t="shared" si="455"/>
        <v>-119.97771579478287</v>
      </c>
      <c r="BI524" s="60" t="e">
        <f t="shared" si="460"/>
        <v>#NUM!</v>
      </c>
      <c r="BJ524" s="66" t="e">
        <f t="shared" si="456"/>
        <v>#NUM!</v>
      </c>
      <c r="BK524" s="63" t="e">
        <f t="shared" si="461"/>
        <v>#NUM!</v>
      </c>
      <c r="BL524" s="51">
        <f t="shared" si="457"/>
        <v>-60.43816706612656</v>
      </c>
      <c r="BM524" s="63">
        <f t="shared" si="458"/>
        <v>-119.97771579478287</v>
      </c>
    </row>
    <row r="525" spans="14:65" x14ac:dyDescent="0.3">
      <c r="N525" s="11">
        <v>7</v>
      </c>
      <c r="O525" s="52">
        <f t="shared" si="462"/>
        <v>1174897.5549395324</v>
      </c>
      <c r="P525" s="50" t="str">
        <f t="shared" si="411"/>
        <v>23.3035714285714</v>
      </c>
      <c r="Q525" s="18" t="str">
        <f t="shared" si="412"/>
        <v>1+3954.69592212711i</v>
      </c>
      <c r="R525" s="18">
        <f t="shared" si="423"/>
        <v>3954.6960485590794</v>
      </c>
      <c r="S525" s="18">
        <f t="shared" si="424"/>
        <v>1.570543462858357</v>
      </c>
      <c r="T525" s="18" t="str">
        <f t="shared" si="413"/>
        <v>1+7.38209905463729i</v>
      </c>
      <c r="U525" s="18">
        <f t="shared" si="425"/>
        <v>7.449522565404898</v>
      </c>
      <c r="V525" s="18">
        <f t="shared" si="426"/>
        <v>1.4361530847588038</v>
      </c>
      <c r="W525" s="32" t="str">
        <f t="shared" si="414"/>
        <v>1-18.0451310224467i</v>
      </c>
      <c r="X525" s="18">
        <f t="shared" si="427"/>
        <v>18.072818087317437</v>
      </c>
      <c r="Y525" s="18">
        <f t="shared" si="428"/>
        <v>-1.5154363399969732</v>
      </c>
      <c r="Z525" s="32" t="str">
        <f t="shared" si="415"/>
        <v>-4.52153705841158+8.85648878832472i</v>
      </c>
      <c r="AA525" s="18">
        <f t="shared" si="429"/>
        <v>9.9439273442795564</v>
      </c>
      <c r="AB525" s="18">
        <f t="shared" si="430"/>
        <v>2.0428354366640331</v>
      </c>
      <c r="AC525" s="68" t="str">
        <f t="shared" si="431"/>
        <v>-0.0679716031817197+0.0417738318145651i</v>
      </c>
      <c r="AD525" s="66">
        <f t="shared" si="432"/>
        <v>-21.961885010391381</v>
      </c>
      <c r="AE525" s="63">
        <f t="shared" si="433"/>
        <v>148.42604336453547</v>
      </c>
      <c r="AF525" s="51" t="e">
        <f t="shared" si="434"/>
        <v>#NUM!</v>
      </c>
      <c r="AG525" s="51" t="str">
        <f t="shared" si="416"/>
        <v>1-5536.57429097798i</v>
      </c>
      <c r="AH525" s="51">
        <f t="shared" si="435"/>
        <v>5536.5743812865303</v>
      </c>
      <c r="AI525" s="51">
        <f t="shared" si="436"/>
        <v>-1.5706157096954827</v>
      </c>
      <c r="AJ525" s="51" t="str">
        <f t="shared" si="417"/>
        <v>1+7.38209905463729i</v>
      </c>
      <c r="AK525" s="51">
        <f t="shared" si="437"/>
        <v>7.449522565404898</v>
      </c>
      <c r="AL525" s="51">
        <f t="shared" si="438"/>
        <v>1.4361530847588038</v>
      </c>
      <c r="AM525" s="51" t="e">
        <f t="shared" si="418"/>
        <v>#NUM!</v>
      </c>
      <c r="AN525" s="51" t="e">
        <f t="shared" si="439"/>
        <v>#NUM!</v>
      </c>
      <c r="AO525" s="51" t="e">
        <f t="shared" si="440"/>
        <v>#NUM!</v>
      </c>
      <c r="AP525" s="60" t="e">
        <f t="shared" si="441"/>
        <v>#NUM!</v>
      </c>
      <c r="AQ525" s="51" t="e">
        <f t="shared" si="442"/>
        <v>#NUM!</v>
      </c>
      <c r="AR525" s="63" t="e">
        <f t="shared" si="443"/>
        <v>#NUM!</v>
      </c>
      <c r="AS525" s="32" t="str">
        <f t="shared" si="419"/>
        <v>-0.000170731707317073</v>
      </c>
      <c r="AT525" s="32" t="str">
        <f t="shared" si="420"/>
        <v>0.280519764076217i</v>
      </c>
      <c r="AU525" s="32">
        <f t="shared" si="444"/>
        <v>0.28051976407621698</v>
      </c>
      <c r="AV525" s="32">
        <f t="shared" si="445"/>
        <v>1.5707963267948966</v>
      </c>
      <c r="AW525" s="32" t="str">
        <f t="shared" si="421"/>
        <v>1+59.7250666673075i</v>
      </c>
      <c r="AX525" s="32">
        <f t="shared" si="446"/>
        <v>59.733437774954197</v>
      </c>
      <c r="AY525" s="32">
        <f t="shared" si="447"/>
        <v>1.5540545025577732</v>
      </c>
      <c r="AZ525" s="32" t="str">
        <f t="shared" si="422"/>
        <v>1+1134.77626667884i</v>
      </c>
      <c r="BA525" s="32">
        <f t="shared" si="448"/>
        <v>1134.7767072942438</v>
      </c>
      <c r="BB525" s="32">
        <f t="shared" si="449"/>
        <v>1.5699150960443886</v>
      </c>
      <c r="BC525" s="60" t="str">
        <f t="shared" si="450"/>
        <v>-0.000183376992908408+0.0115608294310915i</v>
      </c>
      <c r="BD525" s="51">
        <f t="shared" si="451"/>
        <v>-38.739127577095246</v>
      </c>
      <c r="BE525" s="63">
        <f t="shared" si="452"/>
        <v>90.908745067355738</v>
      </c>
      <c r="BF525" s="60" t="str">
        <f t="shared" si="453"/>
        <v>-0.000470475716096663-0.000793468470202114i</v>
      </c>
      <c r="BG525" s="66">
        <f t="shared" si="454"/>
        <v>-60.70101258748663</v>
      </c>
      <c r="BH525" s="63">
        <f t="shared" si="455"/>
        <v>-120.66521156810879</v>
      </c>
      <c r="BI525" s="60" t="e">
        <f t="shared" si="460"/>
        <v>#NUM!</v>
      </c>
      <c r="BJ525" s="66" t="e">
        <f t="shared" si="456"/>
        <v>#NUM!</v>
      </c>
      <c r="BK525" s="63" t="e">
        <f t="shared" si="461"/>
        <v>#NUM!</v>
      </c>
      <c r="BL525" s="51">
        <f t="shared" si="457"/>
        <v>-60.70101258748663</v>
      </c>
      <c r="BM525" s="63">
        <f t="shared" si="458"/>
        <v>-120.66521156810879</v>
      </c>
    </row>
    <row r="526" spans="14:65" x14ac:dyDescent="0.3">
      <c r="N526" s="11">
        <v>8</v>
      </c>
      <c r="O526" s="52">
        <f t="shared" si="462"/>
        <v>1202264.4346174158</v>
      </c>
      <c r="P526" s="50" t="str">
        <f t="shared" si="411"/>
        <v>23.3035714285714</v>
      </c>
      <c r="Q526" s="18" t="str">
        <f t="shared" si="412"/>
        <v>1+4046.81262371395i</v>
      </c>
      <c r="R526" s="18">
        <f t="shared" si="423"/>
        <v>4046.8127472679757</v>
      </c>
      <c r="S526" s="18">
        <f t="shared" si="424"/>
        <v>1.5705492187440355</v>
      </c>
      <c r="T526" s="18" t="str">
        <f t="shared" si="413"/>
        <v>1+7.55405023093272i</v>
      </c>
      <c r="U526" s="18">
        <f t="shared" si="425"/>
        <v>7.6199524205505815</v>
      </c>
      <c r="V526" s="18">
        <f t="shared" si="426"/>
        <v>1.4391822650024904</v>
      </c>
      <c r="W526" s="32" t="str">
        <f t="shared" si="414"/>
        <v>1-18.4654561200578i</v>
      </c>
      <c r="X526" s="18">
        <f t="shared" si="427"/>
        <v>18.492513883238811</v>
      </c>
      <c r="Y526" s="18">
        <f t="shared" si="428"/>
        <v>-1.5166940010337129</v>
      </c>
      <c r="Z526" s="32" t="str">
        <f t="shared" si="415"/>
        <v>-4.78175908298375+9.06278291330576i</v>
      </c>
      <c r="AA526" s="18">
        <f t="shared" si="429"/>
        <v>10.246914367818462</v>
      </c>
      <c r="AB526" s="18">
        <f t="shared" si="430"/>
        <v>2.0562996314355679</v>
      </c>
      <c r="AC526" s="68" t="str">
        <f t="shared" si="431"/>
        <v>-0.0669765393337329+0.0422496154455862i</v>
      </c>
      <c r="AD526" s="66">
        <f t="shared" si="432"/>
        <v>-22.026710370660652</v>
      </c>
      <c r="AE526" s="63">
        <f t="shared" si="433"/>
        <v>147.75577261551209</v>
      </c>
      <c r="AF526" s="51" t="e">
        <f t="shared" si="434"/>
        <v>#NUM!</v>
      </c>
      <c r="AG526" s="51" t="str">
        <f t="shared" si="416"/>
        <v>1-5665.53767319955i</v>
      </c>
      <c r="AH526" s="51">
        <f t="shared" si="435"/>
        <v>5665.5377614524268</v>
      </c>
      <c r="AI526" s="51">
        <f t="shared" si="436"/>
        <v>-1.570619821042522</v>
      </c>
      <c r="AJ526" s="51" t="str">
        <f t="shared" si="417"/>
        <v>1+7.55405023093272i</v>
      </c>
      <c r="AK526" s="51">
        <f t="shared" si="437"/>
        <v>7.6199524205505815</v>
      </c>
      <c r="AL526" s="51">
        <f t="shared" si="438"/>
        <v>1.4391822650024904</v>
      </c>
      <c r="AM526" s="51" t="e">
        <f t="shared" si="418"/>
        <v>#NUM!</v>
      </c>
      <c r="AN526" s="51" t="e">
        <f t="shared" si="439"/>
        <v>#NUM!</v>
      </c>
      <c r="AO526" s="51" t="e">
        <f t="shared" si="440"/>
        <v>#NUM!</v>
      </c>
      <c r="AP526" s="60" t="e">
        <f t="shared" si="441"/>
        <v>#NUM!</v>
      </c>
      <c r="AQ526" s="51" t="e">
        <f t="shared" si="442"/>
        <v>#NUM!</v>
      </c>
      <c r="AR526" s="63" t="e">
        <f t="shared" si="443"/>
        <v>#NUM!</v>
      </c>
      <c r="AS526" s="32" t="str">
        <f t="shared" si="419"/>
        <v>-0.000170731707317073</v>
      </c>
      <c r="AT526" s="32" t="str">
        <f t="shared" si="420"/>
        <v>0.287053908775443i</v>
      </c>
      <c r="AU526" s="32">
        <f t="shared" si="444"/>
        <v>0.28705390877544301</v>
      </c>
      <c r="AV526" s="32">
        <f t="shared" si="445"/>
        <v>1.5707963267948966</v>
      </c>
      <c r="AW526" s="32" t="str">
        <f t="shared" si="421"/>
        <v>1+61.1162421841566i</v>
      </c>
      <c r="AX526" s="32">
        <f t="shared" si="446"/>
        <v>61.124422767928728</v>
      </c>
      <c r="AY526" s="32">
        <f t="shared" si="447"/>
        <v>1.5544355242097556</v>
      </c>
      <c r="AZ526" s="32" t="str">
        <f t="shared" si="422"/>
        <v>1+1161.20860149898i</v>
      </c>
      <c r="BA526" s="32">
        <f t="shared" si="448"/>
        <v>1161.2090320847565</v>
      </c>
      <c r="BB526" s="32">
        <f t="shared" si="449"/>
        <v>1.5699351552952163</v>
      </c>
      <c r="BC526" s="60" t="str">
        <f t="shared" si="450"/>
        <v>-0.000175125877692997+0.0112978078320975i</v>
      </c>
      <c r="BD526" s="51">
        <f t="shared" si="451"/>
        <v>-38.939072947112862</v>
      </c>
      <c r="BE526" s="63">
        <f t="shared" si="452"/>
        <v>90.888063445206654</v>
      </c>
      <c r="BF526" s="60" t="str">
        <f t="shared" si="453"/>
        <v>-0.000465598711048592-0.000764087071638534i</v>
      </c>
      <c r="BG526" s="66">
        <f t="shared" si="454"/>
        <v>-60.965783317773514</v>
      </c>
      <c r="BH526" s="63">
        <f t="shared" si="455"/>
        <v>-121.35616393928126</v>
      </c>
      <c r="BI526" s="60" t="e">
        <f t="shared" si="460"/>
        <v>#NUM!</v>
      </c>
      <c r="BJ526" s="66" t="e">
        <f t="shared" si="456"/>
        <v>#NUM!</v>
      </c>
      <c r="BK526" s="63" t="e">
        <f t="shared" si="461"/>
        <v>#NUM!</v>
      </c>
      <c r="BL526" s="51">
        <f t="shared" si="457"/>
        <v>-60.965783317773514</v>
      </c>
      <c r="BM526" s="63">
        <f t="shared" si="458"/>
        <v>-121.35616393928126</v>
      </c>
    </row>
    <row r="527" spans="14:65" x14ac:dyDescent="0.3">
      <c r="N527" s="11">
        <v>9</v>
      </c>
      <c r="O527" s="52">
        <f t="shared" si="462"/>
        <v>1230268.770812382</v>
      </c>
      <c r="P527" s="50" t="str">
        <f t="shared" si="411"/>
        <v>23.3035714285714</v>
      </c>
      <c r="Q527" s="18" t="str">
        <f t="shared" si="412"/>
        <v>1+4141.07499891977i</v>
      </c>
      <c r="R527" s="18">
        <f t="shared" si="423"/>
        <v>4141.0751196613628</v>
      </c>
      <c r="S527" s="18">
        <f t="shared" si="424"/>
        <v>1.570554843609776</v>
      </c>
      <c r="T527" s="18" t="str">
        <f t="shared" si="413"/>
        <v>1+7.73000666465025i</v>
      </c>
      <c r="U527" s="18">
        <f t="shared" si="425"/>
        <v>7.7944212764988059</v>
      </c>
      <c r="V527" s="18">
        <f t="shared" si="426"/>
        <v>1.4421448420360514</v>
      </c>
      <c r="W527" s="32" t="str">
        <f t="shared" si="414"/>
        <v>1-18.8955718469228i</v>
      </c>
      <c r="X527" s="18">
        <f t="shared" si="427"/>
        <v>18.922014570922975</v>
      </c>
      <c r="Y527" s="18">
        <f t="shared" si="428"/>
        <v>-1.5179231997721936</v>
      </c>
      <c r="Z527" s="32" t="str">
        <f t="shared" si="415"/>
        <v>-5.05424499374485+9.27388224574752i</v>
      </c>
      <c r="AA527" s="18">
        <f t="shared" si="429"/>
        <v>10.561736806263729</v>
      </c>
      <c r="AB527" s="18">
        <f t="shared" si="430"/>
        <v>2.0697909313215019</v>
      </c>
      <c r="AC527" s="68" t="str">
        <f t="shared" si="431"/>
        <v>-0.0659657596933332+0.0427049408282836i</v>
      </c>
      <c r="AD527" s="66">
        <f t="shared" si="432"/>
        <v>-22.093494346262656</v>
      </c>
      <c r="AE527" s="63">
        <f t="shared" si="433"/>
        <v>147.0817710514431</v>
      </c>
      <c r="AF527" s="51" t="e">
        <f t="shared" si="434"/>
        <v>#NUM!</v>
      </c>
      <c r="AG527" s="51" t="str">
        <f t="shared" si="416"/>
        <v>1-5797.5049984877i</v>
      </c>
      <c r="AH527" s="51">
        <f t="shared" si="435"/>
        <v>5797.5050847316952</v>
      </c>
      <c r="AI527" s="51">
        <f t="shared" si="436"/>
        <v>-1.5706238388038827</v>
      </c>
      <c r="AJ527" s="51" t="str">
        <f t="shared" si="417"/>
        <v>1+7.73000666465025i</v>
      </c>
      <c r="AK527" s="51">
        <f t="shared" si="437"/>
        <v>7.7944212764988059</v>
      </c>
      <c r="AL527" s="51">
        <f t="shared" si="438"/>
        <v>1.4421448420360514</v>
      </c>
      <c r="AM527" s="51" t="e">
        <f t="shared" si="418"/>
        <v>#NUM!</v>
      </c>
      <c r="AN527" s="51" t="e">
        <f t="shared" si="439"/>
        <v>#NUM!</v>
      </c>
      <c r="AO527" s="51" t="e">
        <f t="shared" si="440"/>
        <v>#NUM!</v>
      </c>
      <c r="AP527" s="60" t="e">
        <f t="shared" si="441"/>
        <v>#NUM!</v>
      </c>
      <c r="AQ527" s="51" t="e">
        <f t="shared" si="442"/>
        <v>#NUM!</v>
      </c>
      <c r="AR527" s="63" t="e">
        <f t="shared" si="443"/>
        <v>#NUM!</v>
      </c>
      <c r="AS527" s="32" t="str">
        <f t="shared" si="419"/>
        <v>-0.000170731707317073</v>
      </c>
      <c r="AT527" s="32" t="str">
        <f t="shared" si="420"/>
        <v>0.293740253256709i</v>
      </c>
      <c r="AU527" s="32">
        <f t="shared" si="444"/>
        <v>0.29374025325670899</v>
      </c>
      <c r="AV527" s="32">
        <f t="shared" si="445"/>
        <v>1.5707963267948966</v>
      </c>
      <c r="AW527" s="32" t="str">
        <f t="shared" si="421"/>
        <v>1+62.5398223415808i</v>
      </c>
      <c r="AX527" s="32">
        <f t="shared" si="446"/>
        <v>62.547816736609512</v>
      </c>
      <c r="AY527" s="32">
        <f t="shared" si="447"/>
        <v>1.5548078773408116</v>
      </c>
      <c r="AZ527" s="32" t="str">
        <f t="shared" si="422"/>
        <v>1+1188.25662449004i</v>
      </c>
      <c r="BA527" s="32">
        <f t="shared" si="448"/>
        <v>1188.257045274491</v>
      </c>
      <c r="BB527" s="32">
        <f t="shared" si="449"/>
        <v>1.5699547579424193</v>
      </c>
      <c r="BC527" s="60" t="str">
        <f t="shared" si="450"/>
        <v>-0.000167245929515866+0.0110407643276215i</v>
      </c>
      <c r="BD527" s="51">
        <f t="shared" si="451"/>
        <v>-39.1390207752397</v>
      </c>
      <c r="BE527" s="63">
        <f t="shared" si="452"/>
        <v>90.867852331260707</v>
      </c>
      <c r="BF527" s="60" t="str">
        <f t="shared" si="453"/>
        <v>-0.000460462682513969-0.000735454633990352i</v>
      </c>
      <c r="BG527" s="66">
        <f t="shared" si="454"/>
        <v>-61.232515121502345</v>
      </c>
      <c r="BH527" s="63">
        <f t="shared" si="455"/>
        <v>-122.05037661729619</v>
      </c>
      <c r="BI527" s="60" t="e">
        <f t="shared" si="460"/>
        <v>#NUM!</v>
      </c>
      <c r="BJ527" s="66" t="e">
        <f t="shared" si="456"/>
        <v>#NUM!</v>
      </c>
      <c r="BK527" s="63" t="e">
        <f t="shared" si="461"/>
        <v>#NUM!</v>
      </c>
      <c r="BL527" s="51">
        <f t="shared" si="457"/>
        <v>-61.232515121502345</v>
      </c>
      <c r="BM527" s="63">
        <f t="shared" si="458"/>
        <v>-122.05037661729619</v>
      </c>
    </row>
    <row r="528" spans="14:65" x14ac:dyDescent="0.3">
      <c r="N528" s="11">
        <v>10</v>
      </c>
      <c r="O528" s="52">
        <f t="shared" si="462"/>
        <v>1258925.4117941677</v>
      </c>
      <c r="P528" s="50" t="str">
        <f t="shared" si="411"/>
        <v>23.3035714285714</v>
      </c>
      <c r="Q528" s="18" t="str">
        <f t="shared" si="412"/>
        <v>1+4237.53302690363i</v>
      </c>
      <c r="R528" s="18">
        <f t="shared" si="423"/>
        <v>4237.5331448968091</v>
      </c>
      <c r="S528" s="18">
        <f t="shared" si="424"/>
        <v>1.5705603404379556</v>
      </c>
      <c r="T528" s="18" t="str">
        <f t="shared" si="413"/>
        <v>1+7.91006165022012i</v>
      </c>
      <c r="U528" s="18">
        <f t="shared" si="425"/>
        <v>7.9730217176603162</v>
      </c>
      <c r="V528" s="18">
        <f t="shared" si="426"/>
        <v>1.445042178529621</v>
      </c>
      <c r="W528" s="32" t="str">
        <f t="shared" si="414"/>
        <v>1-19.3357062560936i</v>
      </c>
      <c r="X528" s="18">
        <f t="shared" si="427"/>
        <v>19.361547882902784</v>
      </c>
      <c r="Y528" s="18">
        <f t="shared" si="428"/>
        <v>-1.5191245730835723</v>
      </c>
      <c r="Z528" s="32" t="str">
        <f t="shared" si="415"/>
        <v>-5.33957276984447+9.48989871331033i</v>
      </c>
      <c r="AA528" s="18">
        <f t="shared" si="429"/>
        <v>10.888949212543588</v>
      </c>
      <c r="AB528" s="18">
        <f t="shared" si="430"/>
        <v>2.083306230106647</v>
      </c>
      <c r="AC528" s="68" t="str">
        <f t="shared" si="431"/>
        <v>-0.0649399283900324+0.0431390290734693i</v>
      </c>
      <c r="AD528" s="66">
        <f t="shared" si="432"/>
        <v>-22.162271481317937</v>
      </c>
      <c r="AE528" s="63">
        <f t="shared" si="433"/>
        <v>146.40425805968988</v>
      </c>
      <c r="AF528" s="51" t="e">
        <f t="shared" si="434"/>
        <v>#NUM!</v>
      </c>
      <c r="AG528" s="51" t="str">
        <f t="shared" si="416"/>
        <v>1-5932.5462376651i</v>
      </c>
      <c r="AH528" s="51">
        <f t="shared" si="435"/>
        <v>5932.5463219459434</v>
      </c>
      <c r="AI528" s="51">
        <f t="shared" si="436"/>
        <v>-1.5706277651098346</v>
      </c>
      <c r="AJ528" s="51" t="str">
        <f t="shared" si="417"/>
        <v>1+7.91006165022012i</v>
      </c>
      <c r="AK528" s="51">
        <f t="shared" si="437"/>
        <v>7.9730217176603162</v>
      </c>
      <c r="AL528" s="51">
        <f t="shared" si="438"/>
        <v>1.445042178529621</v>
      </c>
      <c r="AM528" s="51" t="e">
        <f t="shared" si="418"/>
        <v>#NUM!</v>
      </c>
      <c r="AN528" s="51" t="e">
        <f t="shared" si="439"/>
        <v>#NUM!</v>
      </c>
      <c r="AO528" s="51" t="e">
        <f t="shared" si="440"/>
        <v>#NUM!</v>
      </c>
      <c r="AP528" s="60" t="e">
        <f t="shared" si="441"/>
        <v>#NUM!</v>
      </c>
      <c r="AQ528" s="51" t="e">
        <f t="shared" si="442"/>
        <v>#NUM!</v>
      </c>
      <c r="AR528" s="63" t="e">
        <f t="shared" si="443"/>
        <v>#NUM!</v>
      </c>
      <c r="AS528" s="32" t="str">
        <f t="shared" si="419"/>
        <v>-0.000170731707317073</v>
      </c>
      <c r="AT528" s="32" t="str">
        <f t="shared" si="420"/>
        <v>0.300582342708365i</v>
      </c>
      <c r="AU528" s="32">
        <f t="shared" si="444"/>
        <v>0.30058234270836498</v>
      </c>
      <c r="AV528" s="32">
        <f t="shared" si="445"/>
        <v>1.5707963267948966</v>
      </c>
      <c r="AW528" s="32" t="str">
        <f t="shared" si="421"/>
        <v>1+63.9965619406229i</v>
      </c>
      <c r="AX528" s="32">
        <f t="shared" si="446"/>
        <v>64.004374383474627</v>
      </c>
      <c r="AY528" s="32">
        <f t="shared" si="447"/>
        <v>1.555171758964258</v>
      </c>
      <c r="AZ528" s="32" t="str">
        <f t="shared" si="422"/>
        <v>1+1215.93467687184i</v>
      </c>
      <c r="BA528" s="32">
        <f t="shared" si="448"/>
        <v>1215.935088078071</v>
      </c>
      <c r="BB528" s="32">
        <f t="shared" si="449"/>
        <v>1.5699739143795204</v>
      </c>
      <c r="BC528" s="60" t="str">
        <f t="shared" si="450"/>
        <v>-0.000159720460200109+0.0107895634405279i</v>
      </c>
      <c r="BD528" s="51">
        <f t="shared" si="451"/>
        <v>-39.338970950899359</v>
      </c>
      <c r="BE528" s="63">
        <f t="shared" si="452"/>
        <v>90.848101032991252</v>
      </c>
      <c r="BF528" s="60" t="str">
        <f t="shared" si="453"/>
        <v>-0.000455079055703156-0.000707563662763794i</v>
      </c>
      <c r="BG528" s="66">
        <f t="shared" si="454"/>
        <v>-61.501242432217296</v>
      </c>
      <c r="BH528" s="63">
        <f t="shared" si="455"/>
        <v>-122.74764090731883</v>
      </c>
      <c r="BI528" s="60" t="e">
        <f t="shared" si="460"/>
        <v>#NUM!</v>
      </c>
      <c r="BJ528" s="66" t="e">
        <f t="shared" si="456"/>
        <v>#NUM!</v>
      </c>
      <c r="BK528" s="63" t="e">
        <f t="shared" si="461"/>
        <v>#NUM!</v>
      </c>
      <c r="BL528" s="51">
        <f t="shared" si="457"/>
        <v>-61.501242432217296</v>
      </c>
      <c r="BM528" s="63">
        <f t="shared" si="458"/>
        <v>-122.74764090731883</v>
      </c>
    </row>
    <row r="529" spans="14:65" x14ac:dyDescent="0.3">
      <c r="N529" s="11">
        <v>11</v>
      </c>
      <c r="O529" s="52">
        <f t="shared" si="462"/>
        <v>1288249.5516931366</v>
      </c>
      <c r="P529" s="50" t="str">
        <f t="shared" si="411"/>
        <v>23.3035714285714</v>
      </c>
      <c r="Q529" s="18" t="str">
        <f t="shared" si="412"/>
        <v>1+4336.23785098874i</v>
      </c>
      <c r="R529" s="18">
        <f t="shared" si="423"/>
        <v>4336.2379662960666</v>
      </c>
      <c r="S529" s="18">
        <f t="shared" si="424"/>
        <v>1.5705657121430632</v>
      </c>
      <c r="T529" s="18" t="str">
        <f t="shared" si="413"/>
        <v>1+8.094310655179i</v>
      </c>
      <c r="U529" s="18">
        <f t="shared" si="425"/>
        <v>8.1558485139526873</v>
      </c>
      <c r="V529" s="18">
        <f t="shared" si="426"/>
        <v>1.4478756160108579</v>
      </c>
      <c r="W529" s="32" t="str">
        <f t="shared" si="414"/>
        <v>1-19.7860927126598i</v>
      </c>
      <c r="X529" s="18">
        <f t="shared" si="427"/>
        <v>19.811346870770027</v>
      </c>
      <c r="Y529" s="18">
        <f t="shared" si="428"/>
        <v>-1.5202987440724958</v>
      </c>
      <c r="Z529" s="32" t="str">
        <f t="shared" si="415"/>
        <v>-5.63834762975027+9.71094685078462i</v>
      </c>
      <c r="AA529" s="18">
        <f t="shared" si="429"/>
        <v>11.229134104314287</v>
      </c>
      <c r="AB529" s="18">
        <f t="shared" si="430"/>
        <v>2.0968422086891358</v>
      </c>
      <c r="AC529" s="68" t="str">
        <f t="shared" si="431"/>
        <v>-0.0638997650567489+0.0435511281345256i</v>
      </c>
      <c r="AD529" s="66">
        <f t="shared" si="432"/>
        <v>-22.233074775786829</v>
      </c>
      <c r="AE529" s="63">
        <f t="shared" si="433"/>
        <v>145.72346480639933</v>
      </c>
      <c r="AF529" s="51" t="e">
        <f t="shared" si="434"/>
        <v>#NUM!</v>
      </c>
      <c r="AG529" s="51" t="str">
        <f t="shared" si="416"/>
        <v>1-6070.73299138427i</v>
      </c>
      <c r="AH529" s="51">
        <f t="shared" si="435"/>
        <v>6070.7330737466464</v>
      </c>
      <c r="AI529" s="51">
        <f t="shared" si="436"/>
        <v>-1.5706316020421569</v>
      </c>
      <c r="AJ529" s="51" t="str">
        <f t="shared" si="417"/>
        <v>1+8.094310655179i</v>
      </c>
      <c r="AK529" s="51">
        <f t="shared" si="437"/>
        <v>8.1558485139526873</v>
      </c>
      <c r="AL529" s="51">
        <f t="shared" si="438"/>
        <v>1.4478756160108579</v>
      </c>
      <c r="AM529" s="51" t="e">
        <f t="shared" si="418"/>
        <v>#NUM!</v>
      </c>
      <c r="AN529" s="51" t="e">
        <f t="shared" si="439"/>
        <v>#NUM!</v>
      </c>
      <c r="AO529" s="51" t="e">
        <f t="shared" si="440"/>
        <v>#NUM!</v>
      </c>
      <c r="AP529" s="60" t="e">
        <f t="shared" si="441"/>
        <v>#NUM!</v>
      </c>
      <c r="AQ529" s="51" t="e">
        <f t="shared" si="442"/>
        <v>#NUM!</v>
      </c>
      <c r="AR529" s="63" t="e">
        <f t="shared" si="443"/>
        <v>#NUM!</v>
      </c>
      <c r="AS529" s="32" t="str">
        <f t="shared" si="419"/>
        <v>-0.000170731707317073</v>
      </c>
      <c r="AT529" s="32" t="str">
        <f t="shared" si="420"/>
        <v>0.307583804896802i</v>
      </c>
      <c r="AU529" s="32">
        <f t="shared" si="444"/>
        <v>0.30758380489680198</v>
      </c>
      <c r="AV529" s="32">
        <f t="shared" si="445"/>
        <v>1.5707963267948966</v>
      </c>
      <c r="AW529" s="32" t="str">
        <f t="shared" si="421"/>
        <v>1+65.4872333639008i</v>
      </c>
      <c r="AX529" s="32">
        <f t="shared" si="446"/>
        <v>65.494867994813177</v>
      </c>
      <c r="AY529" s="32">
        <f t="shared" si="447"/>
        <v>1.5555273616292749</v>
      </c>
      <c r="AZ529" s="32" t="str">
        <f t="shared" si="422"/>
        <v>1+1244.25743391412i</v>
      </c>
      <c r="BA529" s="32">
        <f t="shared" si="448"/>
        <v>1244.2578357601574</v>
      </c>
      <c r="BB529" s="32">
        <f t="shared" si="449"/>
        <v>1.5699926347634596</v>
      </c>
      <c r="BC529" s="60" t="str">
        <f t="shared" si="450"/>
        <v>-0.000152533531157459+0.010544072737446i</v>
      </c>
      <c r="BD529" s="51">
        <f t="shared" si="451"/>
        <v>-39.538923368487112</v>
      </c>
      <c r="BE529" s="63">
        <f t="shared" si="452"/>
        <v>90.828799100092752</v>
      </c>
      <c r="BF529" s="60" t="str">
        <f t="shared" si="453"/>
        <v>-0.000449459406044031-0.000680406778024321i</v>
      </c>
      <c r="BG529" s="66">
        <f t="shared" si="454"/>
        <v>-61.771998144273937</v>
      </c>
      <c r="BH529" s="63">
        <f t="shared" si="455"/>
        <v>-123.44773609350791</v>
      </c>
      <c r="BI529" s="60" t="e">
        <f t="shared" si="460"/>
        <v>#NUM!</v>
      </c>
      <c r="BJ529" s="66" t="e">
        <f t="shared" si="456"/>
        <v>#NUM!</v>
      </c>
      <c r="BK529" s="63" t="e">
        <f t="shared" si="461"/>
        <v>#NUM!</v>
      </c>
      <c r="BL529" s="51">
        <f t="shared" si="457"/>
        <v>-61.771998144273937</v>
      </c>
      <c r="BM529" s="63">
        <f t="shared" si="458"/>
        <v>-123.44773609350791</v>
      </c>
    </row>
    <row r="530" spans="14:65" x14ac:dyDescent="0.3">
      <c r="N530" s="11">
        <v>12</v>
      </c>
      <c r="O530" s="52">
        <f t="shared" si="462"/>
        <v>1318256.7385564097</v>
      </c>
      <c r="P530" s="50" t="str">
        <f t="shared" si="411"/>
        <v>23.3035714285714</v>
      </c>
      <c r="Q530" s="18" t="str">
        <f t="shared" si="412"/>
        <v>1+4437.24180577934i</v>
      </c>
      <c r="R530" s="18">
        <f t="shared" si="423"/>
        <v>4437.2419184619512</v>
      </c>
      <c r="S530" s="18">
        <f t="shared" si="424"/>
        <v>1.5705709615732475</v>
      </c>
      <c r="T530" s="18" t="str">
        <f t="shared" si="413"/>
        <v>1+8.28285137078812i</v>
      </c>
      <c r="U530" s="18">
        <f t="shared" si="425"/>
        <v>8.3429986713750957</v>
      </c>
      <c r="V530" s="18">
        <f t="shared" si="426"/>
        <v>1.4506464747255516</v>
      </c>
      <c r="W530" s="32" t="str">
        <f t="shared" si="414"/>
        <v>1-20.2469700174821i</v>
      </c>
      <c r="X530" s="18">
        <f t="shared" si="427"/>
        <v>20.271650028767244</v>
      </c>
      <c r="Y530" s="18">
        <f t="shared" si="428"/>
        <v>-1.5214463223421881</v>
      </c>
      <c r="Z530" s="32" t="str">
        <f t="shared" si="415"/>
        <v>-5.95120331499755+9.93714386081878i</v>
      </c>
      <c r="AA530" s="18">
        <f t="shared" si="429"/>
        <v>11.582903306470541</v>
      </c>
      <c r="AB530" s="18">
        <f t="shared" si="430"/>
        <v>2.1103953422361279</v>
      </c>
      <c r="AC530" s="68" t="str">
        <f t="shared" si="431"/>
        <v>-0.0628460434446791+0.0439405171028089i</v>
      </c>
      <c r="AD530" s="66">
        <f t="shared" si="432"/>
        <v>-22.305935579725386</v>
      </c>
      <c r="AE530" s="63">
        <f t="shared" si="433"/>
        <v>145.03963380324979</v>
      </c>
      <c r="AF530" s="51" t="e">
        <f t="shared" si="434"/>
        <v>#NUM!</v>
      </c>
      <c r="AG530" s="51" t="str">
        <f t="shared" si="416"/>
        <v>1-6212.13852809111i</v>
      </c>
      <c r="AH530" s="51">
        <f t="shared" si="435"/>
        <v>6212.1386085786899</v>
      </c>
      <c r="AI530" s="51">
        <f t="shared" si="436"/>
        <v>-1.5706353516352409</v>
      </c>
      <c r="AJ530" s="51" t="str">
        <f t="shared" si="417"/>
        <v>1+8.28285137078812i</v>
      </c>
      <c r="AK530" s="51">
        <f t="shared" si="437"/>
        <v>8.3429986713750957</v>
      </c>
      <c r="AL530" s="51">
        <f t="shared" si="438"/>
        <v>1.4506464747255516</v>
      </c>
      <c r="AM530" s="51" t="e">
        <f t="shared" si="418"/>
        <v>#NUM!</v>
      </c>
      <c r="AN530" s="51" t="e">
        <f t="shared" si="439"/>
        <v>#NUM!</v>
      </c>
      <c r="AO530" s="51" t="e">
        <f t="shared" si="440"/>
        <v>#NUM!</v>
      </c>
      <c r="AP530" s="60" t="e">
        <f t="shared" si="441"/>
        <v>#NUM!</v>
      </c>
      <c r="AQ530" s="51" t="e">
        <f t="shared" si="442"/>
        <v>#NUM!</v>
      </c>
      <c r="AR530" s="63" t="e">
        <f t="shared" si="443"/>
        <v>#NUM!</v>
      </c>
      <c r="AS530" s="32" t="str">
        <f t="shared" si="419"/>
        <v>-0.000170731707317073</v>
      </c>
      <c r="AT530" s="32" t="str">
        <f t="shared" si="420"/>
        <v>0.314748352089948i</v>
      </c>
      <c r="AU530" s="32">
        <f t="shared" si="444"/>
        <v>0.314748352089948</v>
      </c>
      <c r="AV530" s="32">
        <f t="shared" si="445"/>
        <v>1.5707963267948966</v>
      </c>
      <c r="AW530" s="32" t="str">
        <f t="shared" si="421"/>
        <v>1+67.0126269851341i</v>
      </c>
      <c r="AX530" s="32">
        <f t="shared" si="446"/>
        <v>67.020087850201477</v>
      </c>
      <c r="AY530" s="32">
        <f t="shared" si="447"/>
        <v>1.5558748735211589</v>
      </c>
      <c r="AZ530" s="32" t="str">
        <f t="shared" si="422"/>
        <v>1+1273.23991271755i</v>
      </c>
      <c r="BA530" s="32">
        <f t="shared" si="448"/>
        <v>1273.2403054164574</v>
      </c>
      <c r="BB530" s="32">
        <f t="shared" si="449"/>
        <v>1.57001092901998</v>
      </c>
      <c r="BC530" s="60" t="str">
        <f t="shared" si="450"/>
        <v>-0.000145669919783384+0.0103041627621556i</v>
      </c>
      <c r="BD530" s="51">
        <f t="shared" si="451"/>
        <v>-39.738877927146881</v>
      </c>
      <c r="BE530" s="63">
        <f t="shared" si="452"/>
        <v>90.80993631904515</v>
      </c>
      <c r="BF530" s="60" t="str">
        <f t="shared" si="453"/>
        <v>-0.000443615461973335-0.000653976672213082i</v>
      </c>
      <c r="BG530" s="66">
        <f t="shared" si="454"/>
        <v>-62.044813506872273</v>
      </c>
      <c r="BH530" s="63">
        <f t="shared" si="455"/>
        <v>-124.15042987770506</v>
      </c>
      <c r="BI530" s="60" t="e">
        <f t="shared" si="460"/>
        <v>#NUM!</v>
      </c>
      <c r="BJ530" s="66" t="e">
        <f t="shared" si="456"/>
        <v>#NUM!</v>
      </c>
      <c r="BK530" s="63" t="e">
        <f t="shared" si="461"/>
        <v>#NUM!</v>
      </c>
      <c r="BL530" s="51">
        <f t="shared" si="457"/>
        <v>-62.044813506872273</v>
      </c>
      <c r="BM530" s="63">
        <f t="shared" si="458"/>
        <v>-124.15042987770506</v>
      </c>
    </row>
    <row r="531" spans="14:65" x14ac:dyDescent="0.3">
      <c r="N531" s="11">
        <v>13</v>
      </c>
      <c r="O531" s="52">
        <f t="shared" si="462"/>
        <v>1348962.8825916562</v>
      </c>
      <c r="P531" s="50" t="str">
        <f t="shared" ref="P531:P560" si="463">COMPLEX(Adc,0)</f>
        <v>23.3035714285714</v>
      </c>
      <c r="Q531" s="18" t="str">
        <f t="shared" ref="Q531:Q560" si="464">IMSUM(COMPLEX(1,0),IMDIV(COMPLEX(0,2*PI()*O531),COMPLEX(wp_lf,0)))</f>
        <v>1+4540.59844490919i</v>
      </c>
      <c r="R531" s="18">
        <f t="shared" si="423"/>
        <v>4540.5985550268315</v>
      </c>
      <c r="S531" s="18">
        <f t="shared" si="424"/>
        <v>1.5705760915118243</v>
      </c>
      <c r="T531" s="18" t="str">
        <f t="shared" ref="T531:T560" si="465">IMSUM(COMPLEX(1,0),IMDIV(COMPLEX(0,2*PI()*O531),COMPLEX(wz_esr,0)))</f>
        <v>1+8.47578376383051i</v>
      </c>
      <c r="U531" s="18">
        <f t="shared" si="425"/>
        <v>8.5345714837484881</v>
      </c>
      <c r="V531" s="18">
        <f t="shared" si="426"/>
        <v>1.4533560535387888</v>
      </c>
      <c r="W531" s="32" t="str">
        <f t="shared" ref="W531:W560" si="466">IMSUB(COMPLEX(1,0),IMDIV(COMPLEX(0,2*PI()*O531),COMPLEX(wz_rhp,0)))</f>
        <v>1-20.7185825338079i</v>
      </c>
      <c r="X531" s="18">
        <f t="shared" si="427"/>
        <v>20.742701420263703</v>
      </c>
      <c r="Y531" s="18">
        <f t="shared" si="428"/>
        <v>-1.5225679042566758</v>
      </c>
      <c r="Z531" s="32" t="str">
        <f t="shared" ref="Z531:Z560" si="467">IMSUM(COMPLEX(1,0),IMDIV(COMPLEX(0,2*PI()*O531),COMPLEX(Q*(wsl/2),0)),IMDIV(IMPOWER(COMPLEX(0,2*PI()*O531),2),IMPOWER(COMPLEX(wsl/2,0),2)))</f>
        <v>-6.27880343443997+10.1686096760616i</v>
      </c>
      <c r="AA531" s="18">
        <f t="shared" si="429"/>
        <v>11.95089935161487</v>
      </c>
      <c r="AB531" s="18">
        <f t="shared" si="430"/>
        <v>2.1239619083519572</v>
      </c>
      <c r="AC531" s="68" t="str">
        <f t="shared" si="431"/>
        <v>-0.0617795896564357+0.0443065104439555i</v>
      </c>
      <c r="AD531" s="66">
        <f t="shared" si="432"/>
        <v>-22.380883490555064</v>
      </c>
      <c r="AE531" s="63">
        <f t="shared" si="433"/>
        <v>144.35301841867619</v>
      </c>
      <c r="AF531" s="51" t="e">
        <f t="shared" si="434"/>
        <v>#NUM!</v>
      </c>
      <c r="AG531" s="51" t="str">
        <f t="shared" ref="AG531:AG560" si="468">IMSUM(COMPLEX(1,0),IMDIV(COMPLEX(0,2*PI()*O531),COMPLEX(wp_lf_DCM,0)))</f>
        <v>1-6356.8378228729i</v>
      </c>
      <c r="AH531" s="51">
        <f t="shared" si="435"/>
        <v>6356.837901528359</v>
      </c>
      <c r="AI531" s="51">
        <f t="shared" si="436"/>
        <v>-1.5706390158771706</v>
      </c>
      <c r="AJ531" s="51" t="str">
        <f t="shared" ref="AJ531:AJ560" si="469">IMSUM(COMPLEX(1,0),IMDIV(COMPLEX(0,2*PI()*O531),COMPLEX(wz1_dcm,0)))</f>
        <v>1+8.47578376383051i</v>
      </c>
      <c r="AK531" s="51">
        <f t="shared" si="437"/>
        <v>8.5345714837484881</v>
      </c>
      <c r="AL531" s="51">
        <f t="shared" si="438"/>
        <v>1.4533560535387888</v>
      </c>
      <c r="AM531" s="51" t="e">
        <f t="shared" ref="AM531:AM560" si="470">IMSUB(COMPLEX(1,0),IMDIV(COMPLEX(0,2*PI()*O531),COMPLEX(wz2_dcm,0)))</f>
        <v>#NUM!</v>
      </c>
      <c r="AN531" s="51" t="e">
        <f t="shared" si="439"/>
        <v>#NUM!</v>
      </c>
      <c r="AO531" s="51" t="e">
        <f t="shared" si="440"/>
        <v>#NUM!</v>
      </c>
      <c r="AP531" s="60" t="e">
        <f t="shared" si="441"/>
        <v>#NUM!</v>
      </c>
      <c r="AQ531" s="51" t="e">
        <f t="shared" si="442"/>
        <v>#NUM!</v>
      </c>
      <c r="AR531" s="63" t="e">
        <f t="shared" si="443"/>
        <v>#NUM!</v>
      </c>
      <c r="AS531" s="32" t="str">
        <f t="shared" ref="AS531:AS560" si="471">COMPLEX(Adc_ea,0)</f>
        <v>-0.000170731707317073</v>
      </c>
      <c r="AT531" s="32" t="str">
        <f t="shared" ref="AT531:AT560" si="472">COMPLEX(0,2*PI()*O531*wp0_ea)</f>
        <v>0.32207978302556i</v>
      </c>
      <c r="AU531" s="32">
        <f t="shared" si="444"/>
        <v>0.32207978302556001</v>
      </c>
      <c r="AV531" s="32">
        <f t="shared" si="445"/>
        <v>1.5707963267948966</v>
      </c>
      <c r="AW531" s="32" t="str">
        <f t="shared" ref="AW531:AW560" si="473">IMSUM(COMPLEX(1,0),IMDIV(COMPLEX(0,2*PI()*O531),COMPLEX(wp1_ea,0)))</f>
        <v>1+68.5735515882118i</v>
      </c>
      <c r="AX531" s="32">
        <f t="shared" si="446"/>
        <v>68.580842641521571</v>
      </c>
      <c r="AY531" s="32">
        <f t="shared" si="447"/>
        <v>1.5562144785593857</v>
      </c>
      <c r="AZ531" s="32" t="str">
        <f t="shared" ref="AZ531:AZ560" si="474">IMSUM(COMPLEX(1,0),IMDIV(COMPLEX(0,2*PI()*O531),COMPLEX(wz_ea,0)))</f>
        <v>1+1302.89748017603i</v>
      </c>
      <c r="BA531" s="32">
        <f t="shared" si="448"/>
        <v>1302.8978639360218</v>
      </c>
      <c r="BB531" s="32">
        <f t="shared" si="449"/>
        <v>1.5700288068488895</v>
      </c>
      <c r="BC531" s="60" t="str">
        <f t="shared" si="450"/>
        <v>-0.000139115087353035+0.0100697069703121i</v>
      </c>
      <c r="BD531" s="51">
        <f t="shared" si="451"/>
        <v>-39.9388345305575</v>
      </c>
      <c r="BE531" s="63">
        <f t="shared" si="452"/>
        <v>90.791502707796738</v>
      </c>
      <c r="BF531" s="60" t="str">
        <f t="shared" si="453"/>
        <v>-0.000437559104036015-0.000628266068657151i</v>
      </c>
      <c r="BG531" s="66">
        <f t="shared" si="454"/>
        <v>-62.319718021112564</v>
      </c>
      <c r="BH531" s="63">
        <f t="shared" si="455"/>
        <v>-124.85547887352708</v>
      </c>
      <c r="BI531" s="60" t="e">
        <f t="shared" si="460"/>
        <v>#NUM!</v>
      </c>
      <c r="BJ531" s="66" t="e">
        <f t="shared" si="456"/>
        <v>#NUM!</v>
      </c>
      <c r="BK531" s="63" t="e">
        <f t="shared" si="461"/>
        <v>#NUM!</v>
      </c>
      <c r="BL531" s="51">
        <f t="shared" si="457"/>
        <v>-62.319718021112564</v>
      </c>
      <c r="BM531" s="63">
        <f t="shared" si="458"/>
        <v>-124.85547887352708</v>
      </c>
    </row>
    <row r="532" spans="14:65" x14ac:dyDescent="0.3">
      <c r="N532" s="11">
        <v>14</v>
      </c>
      <c r="O532" s="52">
        <f t="shared" si="462"/>
        <v>1380384.2646028849</v>
      </c>
      <c r="P532" s="50" t="str">
        <f t="shared" si="463"/>
        <v>23.3035714285714</v>
      </c>
      <c r="Q532" s="18" t="str">
        <f t="shared" si="464"/>
        <v>1+4646.36256943646i</v>
      </c>
      <c r="R532" s="18">
        <f t="shared" ref="R532:R560" si="475">IMABS(Q532)</f>
        <v>4646.3626770475184</v>
      </c>
      <c r="S532" s="18">
        <f t="shared" ref="S532:S560" si="476">IMARGUMENT(Q532)</f>
        <v>1.5705811046787541</v>
      </c>
      <c r="T532" s="18" t="str">
        <f t="shared" si="465"/>
        <v>1+8.67321012961474i</v>
      </c>
      <c r="U532" s="18">
        <f t="shared" ref="U532:U560" si="477">IMABS(T532)</f>
        <v>8.7306685856497683</v>
      </c>
      <c r="V532" s="18">
        <f t="shared" ref="V532:V560" si="478">IMARGUMENT(T532)</f>
        <v>1.4560056298736781</v>
      </c>
      <c r="W532" s="32" t="str">
        <f t="shared" si="466"/>
        <v>1-21.201180316836i</v>
      </c>
      <c r="X532" s="18">
        <f t="shared" ref="X532:X560" si="479">IMABS(W532)</f>
        <v>21.224750807182499</v>
      </c>
      <c r="Y532" s="18">
        <f t="shared" ref="Y532:Y560" si="480">IMARGUMENT(W532)</f>
        <v>-1.5236640732000066</v>
      </c>
      <c r="Z532" s="32" t="str">
        <f t="shared" si="467"/>
        <v>-6.621842871853+10.405467022752i</v>
      </c>
      <c r="AA532" s="18">
        <f t="shared" ref="AA532:AA560" si="481">IMABS(Z532)</f>
        <v>12.333796940970357</v>
      </c>
      <c r="AB532" s="18">
        <f t="shared" ref="AB532:AB560" si="482">IMARGUMENT(Z532)</f>
        <v>2.1375379962386694</v>
      </c>
      <c r="AC532" s="68" t="str">
        <f t="shared" ref="AC532:AC560" si="483">(IMDIV(IMPRODUCT(P532,T532,W532),IMPRODUCT(Q532,Z532)))</f>
        <v>-0.0607012799975152+0.0446484621359883i</v>
      </c>
      <c r="AD532" s="66">
        <f t="shared" ref="AD532:AD560" si="484">20*LOG(IMABS(AC532))</f>
        <v>-22.457946254124352</v>
      </c>
      <c r="AE532" s="63">
        <f t="shared" ref="AE532:AE560" si="485">(180/PI())*IMARGUMENT(AC532)</f>
        <v>143.66388233456254</v>
      </c>
      <c r="AF532" s="51" t="e">
        <f t="shared" ref="AF532:AF560" si="486">COMPLEX($B$68,0)</f>
        <v>#NUM!</v>
      </c>
      <c r="AG532" s="51" t="str">
        <f t="shared" si="468"/>
        <v>1-6504.90759721107i</v>
      </c>
      <c r="AH532" s="51">
        <f t="shared" ref="AH532:AH560" si="487">IMABS(AG532)</f>
        <v>6504.9076740761129</v>
      </c>
      <c r="AI532" s="51">
        <f t="shared" ref="AI532:AI560" si="488">IMARGUMENT(AG532)</f>
        <v>-1.5706425967107751</v>
      </c>
      <c r="AJ532" s="51" t="str">
        <f t="shared" si="469"/>
        <v>1+8.67321012961474i</v>
      </c>
      <c r="AK532" s="51">
        <f t="shared" ref="AK532:AK560" si="489">IMABS(AJ532)</f>
        <v>8.7306685856497683</v>
      </c>
      <c r="AL532" s="51">
        <f t="shared" ref="AL532:AL560" si="490">IMARGUMENT(AJ532)</f>
        <v>1.4560056298736781</v>
      </c>
      <c r="AM532" s="51" t="e">
        <f t="shared" si="470"/>
        <v>#NUM!</v>
      </c>
      <c r="AN532" s="51" t="e">
        <f t="shared" ref="AN532:AN560" si="491">IMABS(AM532)</f>
        <v>#NUM!</v>
      </c>
      <c r="AO532" s="51" t="e">
        <f t="shared" ref="AO532:AO560" si="492">IMARGUMENT(AM532)</f>
        <v>#NUM!</v>
      </c>
      <c r="AP532" s="60" t="e">
        <f t="shared" ref="AP532:AP560" si="493">(IMDIV(IMPRODUCT(AF532,AJ532,AM532),IMPRODUCT(AG532)))</f>
        <v>#NUM!</v>
      </c>
      <c r="AQ532" s="51" t="e">
        <f t="shared" ref="AQ532:AQ560" si="494">20*LOG(IMABS(AP532))</f>
        <v>#NUM!</v>
      </c>
      <c r="AR532" s="63" t="e">
        <f t="shared" ref="AR532:AR560" si="495">(180/PI())*IMARGUMENT(AP532)</f>
        <v>#NUM!</v>
      </c>
      <c r="AS532" s="32" t="str">
        <f t="shared" si="471"/>
        <v>-0.000170731707317073</v>
      </c>
      <c r="AT532" s="32" t="str">
        <f t="shared" si="472"/>
        <v>0.32958198492536i</v>
      </c>
      <c r="AU532" s="32">
        <f t="shared" ref="AU532:AU560" si="496">IMABS(AT532)</f>
        <v>0.32958198492536001</v>
      </c>
      <c r="AV532" s="32">
        <f t="shared" ref="AV532:AV560" si="497">IMARGUMENT(AT532)</f>
        <v>1.5707963267948966</v>
      </c>
      <c r="AW532" s="32" t="str">
        <f t="shared" si="473"/>
        <v>1+70.1708347960198i</v>
      </c>
      <c r="AX532" s="32">
        <f t="shared" ref="AX532:AX560" si="498">IMABS(AW532)</f>
        <v>70.17795990174055</v>
      </c>
      <c r="AY532" s="32">
        <f t="shared" ref="AY532:AY560" si="499">IMARGUMENT(AW532)</f>
        <v>1.556546356493524</v>
      </c>
      <c r="AZ532" s="32" t="str">
        <f t="shared" si="474"/>
        <v>1+1333.24586112438i</v>
      </c>
      <c r="BA532" s="32">
        <f t="shared" ref="BA532:BA560" si="500">IMABS(AZ532)</f>
        <v>1333.2462361489306</v>
      </c>
      <c r="BB532" s="32">
        <f t="shared" ref="BB532:BB560" si="501">IMARGUMENT(AZ532)</f>
        <v>1.5700462777292035</v>
      </c>
      <c r="BC532" s="60" t="str">
        <f t="shared" ref="BC532:BC560" si="502">IMPRODUCT(AS532,IMDIV(AZ532,IMPRODUCT(AT532,AW532)))</f>
        <v>-0.00013285514835154+0.00984058166549047i</v>
      </c>
      <c r="BD532" s="51">
        <f t="shared" ref="BD532:BD560" si="503">20*LOG(IMABS(BC532))</f>
        <v>-40.138793086729343</v>
      </c>
      <c r="BE532" s="63">
        <f t="shared" ref="BE532:BE560" si="504">(180/PI())*IMARGUMENT(BC532)</f>
        <v>90.773488510563467</v>
      </c>
      <c r="BF532" s="60" t="str">
        <f t="shared" ref="BF532:BF560" si="505">IMPRODUCT(AC532,BC532)</f>
        <v>-0.000431302360328554-0.000603267681076096i</v>
      </c>
      <c r="BG532" s="66">
        <f t="shared" ref="BG532:BG560" si="506">20*LOG(IMABS(BF532))</f>
        <v>-62.596739340853695</v>
      </c>
      <c r="BH532" s="63">
        <f t="shared" ref="BH532:BH560" si="507">(180/PI())*IMARGUMENT(BF532)</f>
        <v>-125.562629154874</v>
      </c>
      <c r="BI532" s="60" t="e">
        <f t="shared" si="460"/>
        <v>#NUM!</v>
      </c>
      <c r="BJ532" s="66" t="e">
        <f t="shared" ref="BJ532:BJ560" si="508">20*LOG(IMABS(BI532))</f>
        <v>#NUM!</v>
      </c>
      <c r="BK532" s="63" t="e">
        <f t="shared" si="461"/>
        <v>#NUM!</v>
      </c>
      <c r="BL532" s="51">
        <f t="shared" ref="BL532:BL560" si="509">IF($B$31=0,BJ532,BG532)</f>
        <v>-62.596739340853695</v>
      </c>
      <c r="BM532" s="63">
        <f t="shared" ref="BM532:BM560" si="510">IF($B$31=0,BK532,BH532)</f>
        <v>-125.562629154874</v>
      </c>
    </row>
    <row r="533" spans="14:65" x14ac:dyDescent="0.3">
      <c r="N533" s="11">
        <v>15</v>
      </c>
      <c r="O533" s="52">
        <f t="shared" si="462"/>
        <v>1412537.5446227565</v>
      </c>
      <c r="P533" s="50" t="str">
        <f t="shared" si="463"/>
        <v>23.3035714285714</v>
      </c>
      <c r="Q533" s="18" t="str">
        <f t="shared" si="464"/>
        <v>1+4754.59025689994i</v>
      </c>
      <c r="R533" s="18">
        <f t="shared" si="475"/>
        <v>4754.5903620614718</v>
      </c>
      <c r="S533" s="18">
        <f t="shared" si="476"/>
        <v>1.5705860037320831</v>
      </c>
      <c r="T533" s="18" t="str">
        <f t="shared" si="465"/>
        <v>1+8.87523514621323i</v>
      </c>
      <c r="U533" s="18">
        <f t="shared" si="477"/>
        <v>8.9313940065691089</v>
      </c>
      <c r="V533" s="18">
        <f t="shared" si="478"/>
        <v>1.4585964596847956</v>
      </c>
      <c r="W533" s="32" t="str">
        <f t="shared" si="466"/>
        <v>1-21.695019246299i</v>
      </c>
      <c r="X533" s="18">
        <f t="shared" si="479"/>
        <v>21.718053782447541</v>
      </c>
      <c r="Y533" s="18">
        <f t="shared" si="480"/>
        <v>-1.524735399832341</v>
      </c>
      <c r="Z533" s="32" t="str">
        <f t="shared" si="467"/>
        <v>-6.98104925987555+10.6478414857907i</v>
      </c>
      <c r="AA533" s="18">
        <f t="shared" si="481"/>
        <v>12.732304468372346</v>
      </c>
      <c r="AB533" s="18">
        <f t="shared" si="482"/>
        <v>2.1511195168196844</v>
      </c>
      <c r="AC533" s="68" t="str">
        <f t="shared" si="483"/>
        <v>-0.0596120384506736+0.0449657696695173i</v>
      </c>
      <c r="AD533" s="66">
        <f t="shared" si="484"/>
        <v>-22.537149670336451</v>
      </c>
      <c r="AE533" s="63">
        <f t="shared" si="485"/>
        <v>142.97249894992197</v>
      </c>
      <c r="AF533" s="51" t="e">
        <f t="shared" si="486"/>
        <v>#NUM!</v>
      </c>
      <c r="AG533" s="51" t="str">
        <f t="shared" si="468"/>
        <v>1-6656.42635965994i</v>
      </c>
      <c r="AH533" s="51">
        <f t="shared" si="487"/>
        <v>6656.4264347753206</v>
      </c>
      <c r="AI533" s="51">
        <f t="shared" si="488"/>
        <v>-1.5706460960346591</v>
      </c>
      <c r="AJ533" s="51" t="str">
        <f t="shared" si="469"/>
        <v>1+8.87523514621323i</v>
      </c>
      <c r="AK533" s="51">
        <f t="shared" si="489"/>
        <v>8.9313940065691089</v>
      </c>
      <c r="AL533" s="51">
        <f t="shared" si="490"/>
        <v>1.4585964596847956</v>
      </c>
      <c r="AM533" s="51" t="e">
        <f t="shared" si="470"/>
        <v>#NUM!</v>
      </c>
      <c r="AN533" s="51" t="e">
        <f t="shared" si="491"/>
        <v>#NUM!</v>
      </c>
      <c r="AO533" s="51" t="e">
        <f t="shared" si="492"/>
        <v>#NUM!</v>
      </c>
      <c r="AP533" s="60" t="e">
        <f t="shared" si="493"/>
        <v>#NUM!</v>
      </c>
      <c r="AQ533" s="51" t="e">
        <f t="shared" si="494"/>
        <v>#NUM!</v>
      </c>
      <c r="AR533" s="63" t="e">
        <f t="shared" si="495"/>
        <v>#NUM!</v>
      </c>
      <c r="AS533" s="32" t="str">
        <f t="shared" si="471"/>
        <v>-0.000170731707317073</v>
      </c>
      <c r="AT533" s="32" t="str">
        <f t="shared" si="472"/>
        <v>0.337258935556103i</v>
      </c>
      <c r="AU533" s="32">
        <f t="shared" si="496"/>
        <v>0.33725893555610298</v>
      </c>
      <c r="AV533" s="32">
        <f t="shared" si="497"/>
        <v>1.5707963267948966</v>
      </c>
      <c r="AW533" s="32" t="str">
        <f t="shared" si="473"/>
        <v>1+71.8053235092577i</v>
      </c>
      <c r="AX533" s="32">
        <f t="shared" si="498"/>
        <v>71.81228644368008</v>
      </c>
      <c r="AY533" s="32">
        <f t="shared" si="499"/>
        <v>1.5568706829970478</v>
      </c>
      <c r="AZ533" s="32" t="str">
        <f t="shared" si="474"/>
        <v>1+1364.3011466759i</v>
      </c>
      <c r="BA533" s="32">
        <f t="shared" si="500"/>
        <v>1364.3015131638517</v>
      </c>
      <c r="BB533" s="32">
        <f t="shared" si="501"/>
        <v>1.5700633509241719</v>
      </c>
      <c r="BC533" s="60" t="str">
        <f t="shared" si="502"/>
        <v>-0.000126876841174977+0.00961666593653072i</v>
      </c>
      <c r="BD533" s="51">
        <f t="shared" si="503"/>
        <v>-40.338753507809521</v>
      </c>
      <c r="BE533" s="63">
        <f t="shared" si="504"/>
        <v>90.755884192741817</v>
      </c>
      <c r="BF533" s="60" t="str">
        <f t="shared" si="505"/>
        <v>-0.00042485739835611-0.000578974174392422i</v>
      </c>
      <c r="BG533" s="66">
        <f t="shared" si="506"/>
        <v>-62.875903178145975</v>
      </c>
      <c r="BH533" s="63">
        <f t="shared" si="507"/>
        <v>-126.27161685733618</v>
      </c>
      <c r="BI533" s="60" t="e">
        <f t="shared" si="460"/>
        <v>#NUM!</v>
      </c>
      <c r="BJ533" s="66" t="e">
        <f t="shared" si="508"/>
        <v>#NUM!</v>
      </c>
      <c r="BK533" s="63" t="e">
        <f t="shared" si="461"/>
        <v>#NUM!</v>
      </c>
      <c r="BL533" s="51">
        <f t="shared" si="509"/>
        <v>-62.875903178145975</v>
      </c>
      <c r="BM533" s="63">
        <f t="shared" si="510"/>
        <v>-126.27161685733618</v>
      </c>
    </row>
    <row r="534" spans="14:65" x14ac:dyDescent="0.3">
      <c r="N534" s="11">
        <v>16</v>
      </c>
      <c r="O534" s="52">
        <f t="shared" si="462"/>
        <v>1445439.7707459298</v>
      </c>
      <c r="P534" s="50" t="str">
        <f t="shared" si="463"/>
        <v>23.3035714285714</v>
      </c>
      <c r="Q534" s="18" t="str">
        <f t="shared" si="464"/>
        <v>1+4865.33889105206i</v>
      </c>
      <c r="R534" s="18">
        <f t="shared" si="475"/>
        <v>4865.3389938198225</v>
      </c>
      <c r="S534" s="18">
        <f t="shared" si="476"/>
        <v>1.5705907912693533</v>
      </c>
      <c r="T534" s="18" t="str">
        <f t="shared" si="465"/>
        <v>1+9.08196592996386i</v>
      </c>
      <c r="U534" s="18">
        <f t="shared" si="477"/>
        <v>9.136854226320148</v>
      </c>
      <c r="V534" s="18">
        <f t="shared" si="478"/>
        <v>1.4611297774636762</v>
      </c>
      <c r="W534" s="32" t="str">
        <f t="shared" si="466"/>
        <v>1-22.2003611621339i</v>
      </c>
      <c r="X534" s="18">
        <f t="shared" si="479"/>
        <v>22.222871905520741</v>
      </c>
      <c r="Y534" s="18">
        <f t="shared" si="480"/>
        <v>-1.5257824423428026</v>
      </c>
      <c r="Z534" s="32" t="str">
        <f t="shared" si="467"/>
        <v>-7.3571845234162+10.8958615753259i</v>
      </c>
      <c r="AA534" s="18">
        <f t="shared" si="481"/>
        <v>13.14716561013279</v>
      </c>
      <c r="AB534" s="18">
        <f t="shared" si="482"/>
        <v>2.1647022137883276</v>
      </c>
      <c r="AC534" s="68" t="str">
        <f t="shared" si="483"/>
        <v>-0.0585128337824533+0.0452578778703204i</v>
      </c>
      <c r="AD534" s="66">
        <f t="shared" si="484"/>
        <v>-22.618517504101803</v>
      </c>
      <c r="AE534" s="63">
        <f t="shared" si="485"/>
        <v>142.27915073360879</v>
      </c>
      <c r="AF534" s="51" t="e">
        <f t="shared" si="486"/>
        <v>#NUM!</v>
      </c>
      <c r="AG534" s="51" t="str">
        <f t="shared" si="468"/>
        <v>1-6811.47444747291i</v>
      </c>
      <c r="AH534" s="51">
        <f t="shared" si="487"/>
        <v>6811.4745208784561</v>
      </c>
      <c r="AI534" s="51">
        <f t="shared" si="488"/>
        <v>-1.5706495157042104</v>
      </c>
      <c r="AJ534" s="51" t="str">
        <f t="shared" si="469"/>
        <v>1+9.08196592996386i</v>
      </c>
      <c r="AK534" s="51">
        <f t="shared" si="489"/>
        <v>9.136854226320148</v>
      </c>
      <c r="AL534" s="51">
        <f t="shared" si="490"/>
        <v>1.4611297774636762</v>
      </c>
      <c r="AM534" s="51" t="e">
        <f t="shared" si="470"/>
        <v>#NUM!</v>
      </c>
      <c r="AN534" s="51" t="e">
        <f t="shared" si="491"/>
        <v>#NUM!</v>
      </c>
      <c r="AO534" s="51" t="e">
        <f t="shared" si="492"/>
        <v>#NUM!</v>
      </c>
      <c r="AP534" s="60" t="e">
        <f t="shared" si="493"/>
        <v>#NUM!</v>
      </c>
      <c r="AQ534" s="51" t="e">
        <f t="shared" si="494"/>
        <v>#NUM!</v>
      </c>
      <c r="AR534" s="63" t="e">
        <f t="shared" si="495"/>
        <v>#NUM!</v>
      </c>
      <c r="AS534" s="32" t="str">
        <f t="shared" si="471"/>
        <v>-0.000170731707317073</v>
      </c>
      <c r="AT534" s="32" t="str">
        <f t="shared" si="472"/>
        <v>0.345114705338627i</v>
      </c>
      <c r="AU534" s="32">
        <f t="shared" si="496"/>
        <v>0.34511470533862698</v>
      </c>
      <c r="AV534" s="32">
        <f t="shared" si="497"/>
        <v>1.5707963267948966</v>
      </c>
      <c r="AW534" s="32" t="str">
        <f t="shared" si="473"/>
        <v>1+73.4778843554759i</v>
      </c>
      <c r="AX534" s="32">
        <f t="shared" si="498"/>
        <v>73.484688809007622</v>
      </c>
      <c r="AY534" s="32">
        <f t="shared" si="499"/>
        <v>1.5571876297590841</v>
      </c>
      <c r="AZ534" s="32" t="str">
        <f t="shared" si="474"/>
        <v>1+1396.07980275405i</v>
      </c>
      <c r="BA534" s="32">
        <f t="shared" si="500"/>
        <v>1396.0801608997197</v>
      </c>
      <c r="BB534" s="32">
        <f t="shared" si="501"/>
        <v>1.5700800354861886</v>
      </c>
      <c r="BC534" s="60" t="str">
        <f t="shared" si="502"/>
        <v>-0.000121167500141229+0.00939784159616486i</v>
      </c>
      <c r="BD534" s="51">
        <f t="shared" si="503"/>
        <v>-40.538715709895868</v>
      </c>
      <c r="BE534" s="63">
        <f t="shared" si="504"/>
        <v>90.738680435933375</v>
      </c>
      <c r="BF534" s="60" t="str">
        <f t="shared" si="505"/>
        <v>-0.000418236513408247-0.000555378127153464i</v>
      </c>
      <c r="BG534" s="66">
        <f t="shared" si="506"/>
        <v>-63.157233213997664</v>
      </c>
      <c r="BH534" s="63">
        <f t="shared" si="507"/>
        <v>-126.98216883045782</v>
      </c>
      <c r="BI534" s="60" t="e">
        <f t="shared" si="460"/>
        <v>#NUM!</v>
      </c>
      <c r="BJ534" s="66" t="e">
        <f t="shared" si="508"/>
        <v>#NUM!</v>
      </c>
      <c r="BK534" s="63" t="e">
        <f t="shared" si="461"/>
        <v>#NUM!</v>
      </c>
      <c r="BL534" s="51">
        <f t="shared" si="509"/>
        <v>-63.157233213997664</v>
      </c>
      <c r="BM534" s="63">
        <f t="shared" si="510"/>
        <v>-126.98216883045782</v>
      </c>
    </row>
    <row r="535" spans="14:65" x14ac:dyDescent="0.3">
      <c r="N535" s="11">
        <v>17</v>
      </c>
      <c r="O535" s="52">
        <f t="shared" si="462"/>
        <v>1479108.3881682095</v>
      </c>
      <c r="P535" s="50" t="str">
        <f t="shared" si="463"/>
        <v>23.3035714285714</v>
      </c>
      <c r="Q535" s="18" t="str">
        <f t="shared" si="464"/>
        <v>1+4978.66719228458i</v>
      </c>
      <c r="R535" s="18">
        <f t="shared" si="475"/>
        <v>4978.667292713063</v>
      </c>
      <c r="S535" s="18">
        <f t="shared" si="476"/>
        <v>1.5705954698289797</v>
      </c>
      <c r="T535" s="18" t="str">
        <f t="shared" si="465"/>
        <v>1+9.29351209226457i</v>
      </c>
      <c r="U535" s="18">
        <f t="shared" si="477"/>
        <v>9.3471582317337383</v>
      </c>
      <c r="V535" s="18">
        <f t="shared" si="478"/>
        <v>1.4636067962738264</v>
      </c>
      <c r="W535" s="32" t="str">
        <f t="shared" si="466"/>
        <v>1-22.7174740033134i</v>
      </c>
      <c r="X535" s="18">
        <f t="shared" si="479"/>
        <v>22.739472841102099</v>
      </c>
      <c r="Y535" s="18">
        <f t="shared" si="480"/>
        <v>-1.5268057466989995</v>
      </c>
      <c r="Z535" s="32" t="str">
        <f t="shared" si="467"/>
        <v>-7.75104649579824+11.1496587948921i</v>
      </c>
      <c r="AA535" s="18">
        <f t="shared" si="481"/>
        <v>13.57916098374789</v>
      </c>
      <c r="AB535" s="18">
        <f t="shared" si="482"/>
        <v>2.178281675533579</v>
      </c>
      <c r="AC535" s="68" t="str">
        <f t="shared" si="483"/>
        <v>-0.0574046762958248+0.0455242825051426i</v>
      </c>
      <c r="AD535" s="66">
        <f t="shared" si="484"/>
        <v>-22.702071402353951</v>
      </c>
      <c r="AE535" s="63">
        <f t="shared" si="485"/>
        <v>141.58412852865436</v>
      </c>
      <c r="AF535" s="51" t="e">
        <f t="shared" si="486"/>
        <v>#NUM!</v>
      </c>
      <c r="AG535" s="51" t="str">
        <f t="shared" si="468"/>
        <v>1-6970.13406919845i</v>
      </c>
      <c r="AH535" s="51">
        <f t="shared" si="487"/>
        <v>6970.1341409330798</v>
      </c>
      <c r="AI535" s="51">
        <f t="shared" si="488"/>
        <v>-1.5706528575325824</v>
      </c>
      <c r="AJ535" s="51" t="str">
        <f t="shared" si="469"/>
        <v>1+9.29351209226457i</v>
      </c>
      <c r="AK535" s="51">
        <f t="shared" si="489"/>
        <v>9.3471582317337383</v>
      </c>
      <c r="AL535" s="51">
        <f t="shared" si="490"/>
        <v>1.4636067962738264</v>
      </c>
      <c r="AM535" s="51" t="e">
        <f t="shared" si="470"/>
        <v>#NUM!</v>
      </c>
      <c r="AN535" s="51" t="e">
        <f t="shared" si="491"/>
        <v>#NUM!</v>
      </c>
      <c r="AO535" s="51" t="e">
        <f t="shared" si="492"/>
        <v>#NUM!</v>
      </c>
      <c r="AP535" s="60" t="e">
        <f t="shared" si="493"/>
        <v>#NUM!</v>
      </c>
      <c r="AQ535" s="51" t="e">
        <f t="shared" si="494"/>
        <v>#NUM!</v>
      </c>
      <c r="AR535" s="63" t="e">
        <f t="shared" si="495"/>
        <v>#NUM!</v>
      </c>
      <c r="AS535" s="32" t="str">
        <f t="shared" si="471"/>
        <v>-0.000170731707317073</v>
      </c>
      <c r="AT535" s="32" t="str">
        <f t="shared" si="472"/>
        <v>0.353153459506054i</v>
      </c>
      <c r="AU535" s="32">
        <f t="shared" si="496"/>
        <v>0.35315345950605398</v>
      </c>
      <c r="AV535" s="32">
        <f t="shared" si="497"/>
        <v>1.5707963267948966</v>
      </c>
      <c r="AW535" s="32" t="str">
        <f t="shared" si="473"/>
        <v>1+75.1894041485741i</v>
      </c>
      <c r="AX535" s="32">
        <f t="shared" si="498"/>
        <v>75.196053727689801</v>
      </c>
      <c r="AY535" s="32">
        <f t="shared" si="499"/>
        <v>1.5574973645741435</v>
      </c>
      <c r="AZ535" s="32" t="str">
        <f t="shared" si="474"/>
        <v>1+1428.59867882291i</v>
      </c>
      <c r="BA535" s="32">
        <f t="shared" si="500"/>
        <v>1428.5990288161909</v>
      </c>
      <c r="BB535" s="32">
        <f t="shared" si="501"/>
        <v>1.5700963402615919</v>
      </c>
      <c r="BC535" s="60" t="str">
        <f t="shared" si="502"/>
        <v>-0.000115715028752494+0.00918399312090525i</v>
      </c>
      <c r="BD535" s="51">
        <f t="shared" si="503"/>
        <v>-40.738679612859805</v>
      </c>
      <c r="BE535" s="63">
        <f t="shared" si="504"/>
        <v>90.721868133078715</v>
      </c>
      <c r="BF535" s="60" t="str">
        <f t="shared" si="505"/>
        <v>-0.000411452113593278-0.000532471995867667i</v>
      </c>
      <c r="BG535" s="66">
        <f t="shared" si="506"/>
        <v>-63.440751015213756</v>
      </c>
      <c r="BH535" s="63">
        <f t="shared" si="507"/>
        <v>-127.69400333826692</v>
      </c>
      <c r="BI535" s="60" t="e">
        <f t="shared" si="460"/>
        <v>#NUM!</v>
      </c>
      <c r="BJ535" s="66" t="e">
        <f t="shared" si="508"/>
        <v>#NUM!</v>
      </c>
      <c r="BK535" s="63" t="e">
        <f t="shared" si="461"/>
        <v>#NUM!</v>
      </c>
      <c r="BL535" s="51">
        <f t="shared" si="509"/>
        <v>-63.440751015213756</v>
      </c>
      <c r="BM535" s="63">
        <f t="shared" si="510"/>
        <v>-127.69400333826692</v>
      </c>
    </row>
    <row r="536" spans="14:65" x14ac:dyDescent="0.3">
      <c r="N536" s="11">
        <v>18</v>
      </c>
      <c r="O536" s="52">
        <f t="shared" si="462"/>
        <v>1513561.2484362102</v>
      </c>
      <c r="P536" s="50" t="str">
        <f t="shared" si="463"/>
        <v>23.3035714285714</v>
      </c>
      <c r="Q536" s="18" t="str">
        <f t="shared" si="464"/>
        <v>1+5094.63524876291i</v>
      </c>
      <c r="R536" s="18">
        <f t="shared" si="475"/>
        <v>5094.6353469053629</v>
      </c>
      <c r="S536" s="18">
        <f t="shared" si="476"/>
        <v>1.5706000418915955</v>
      </c>
      <c r="T536" s="18" t="str">
        <f t="shared" si="465"/>
        <v>1+9.50998579769079i</v>
      </c>
      <c r="U536" s="18">
        <f t="shared" si="477"/>
        <v>9.5624175746659645</v>
      </c>
      <c r="V536" s="18">
        <f t="shared" si="478"/>
        <v>1.4660287078128771</v>
      </c>
      <c r="W536" s="32" t="str">
        <f t="shared" si="466"/>
        <v>1-23.2466319499108i</v>
      </c>
      <c r="X536" s="18">
        <f t="shared" si="479"/>
        <v>23.268130501065482</v>
      </c>
      <c r="Y536" s="18">
        <f t="shared" si="480"/>
        <v>-1.5278058468931268</v>
      </c>
      <c r="Z536" s="32" t="str">
        <f t="shared" si="467"/>
        <v>-8.16347061107114+11.4093677111346i</v>
      </c>
      <c r="AA536" s="18">
        <f t="shared" si="481"/>
        <v>14.029109878595397</v>
      </c>
      <c r="AB536" s="18">
        <f t="shared" si="482"/>
        <v>2.1918533478867568</v>
      </c>
      <c r="AC536" s="68" t="str">
        <f t="shared" si="483"/>
        <v>-0.0562886142476266+0.0457645336328009i</v>
      </c>
      <c r="AD536" s="66">
        <f t="shared" si="484"/>
        <v>-22.787830817830613</v>
      </c>
      <c r="AE536" s="63">
        <f t="shared" si="485"/>
        <v>140.88773081131936</v>
      </c>
      <c r="AF536" s="51" t="e">
        <f t="shared" si="486"/>
        <v>#NUM!</v>
      </c>
      <c r="AG536" s="51" t="str">
        <f t="shared" si="468"/>
        <v>1-7132.48934826811i</v>
      </c>
      <c r="AH536" s="51">
        <f t="shared" si="487"/>
        <v>7132.4894183698625</v>
      </c>
      <c r="AI536" s="51">
        <f t="shared" si="488"/>
        <v>-1.5706561232916569</v>
      </c>
      <c r="AJ536" s="51" t="str">
        <f t="shared" si="469"/>
        <v>1+9.50998579769079i</v>
      </c>
      <c r="AK536" s="51">
        <f t="shared" si="489"/>
        <v>9.5624175746659645</v>
      </c>
      <c r="AL536" s="51">
        <f t="shared" si="490"/>
        <v>1.4660287078128771</v>
      </c>
      <c r="AM536" s="51" t="e">
        <f t="shared" si="470"/>
        <v>#NUM!</v>
      </c>
      <c r="AN536" s="51" t="e">
        <f t="shared" si="491"/>
        <v>#NUM!</v>
      </c>
      <c r="AO536" s="51" t="e">
        <f t="shared" si="492"/>
        <v>#NUM!</v>
      </c>
      <c r="AP536" s="60" t="e">
        <f t="shared" si="493"/>
        <v>#NUM!</v>
      </c>
      <c r="AQ536" s="51" t="e">
        <f t="shared" si="494"/>
        <v>#NUM!</v>
      </c>
      <c r="AR536" s="63" t="e">
        <f t="shared" si="495"/>
        <v>#NUM!</v>
      </c>
      <c r="AS536" s="32" t="str">
        <f t="shared" si="471"/>
        <v>-0.000170731707317073</v>
      </c>
      <c r="AT536" s="32" t="str">
        <f t="shared" si="472"/>
        <v>0.36137946031225i</v>
      </c>
      <c r="AU536" s="32">
        <f t="shared" si="496"/>
        <v>0.36137946031224999</v>
      </c>
      <c r="AV536" s="32">
        <f t="shared" si="497"/>
        <v>1.5707963267948966</v>
      </c>
      <c r="AW536" s="32" t="str">
        <f t="shared" si="473"/>
        <v>1+76.9407903590014i</v>
      </c>
      <c r="AX536" s="32">
        <f t="shared" si="498"/>
        <v>76.947288588148467</v>
      </c>
      <c r="AY536" s="32">
        <f t="shared" si="499"/>
        <v>1.5578000514298715</v>
      </c>
      <c r="AZ536" s="32" t="str">
        <f t="shared" si="474"/>
        <v>1+1461.87501682103i</v>
      </c>
      <c r="BA536" s="32">
        <f t="shared" si="500"/>
        <v>1461.8753588474929</v>
      </c>
      <c r="BB536" s="32">
        <f t="shared" si="501"/>
        <v>1.570112273895355</v>
      </c>
      <c r="BC536" s="60" t="str">
        <f t="shared" si="502"/>
        <v>-0.000110507874153869+0.00897500759217613i</v>
      </c>
      <c r="BD536" s="51">
        <f t="shared" si="503"/>
        <v>-40.93864514017632</v>
      </c>
      <c r="BE536" s="63">
        <f t="shared" si="504"/>
        <v>90.70543838369835</v>
      </c>
      <c r="BF536" s="60" t="str">
        <f t="shared" si="505"/>
        <v>-0.000404516701707215-0.000510248081548926i</v>
      </c>
      <c r="BG536" s="66">
        <f t="shared" si="506"/>
        <v>-63.726475958006944</v>
      </c>
      <c r="BH536" s="63">
        <f t="shared" si="507"/>
        <v>-128.40683080498226</v>
      </c>
      <c r="BI536" s="60" t="e">
        <f t="shared" si="460"/>
        <v>#NUM!</v>
      </c>
      <c r="BJ536" s="66" t="e">
        <f t="shared" si="508"/>
        <v>#NUM!</v>
      </c>
      <c r="BK536" s="63" t="e">
        <f t="shared" si="461"/>
        <v>#NUM!</v>
      </c>
      <c r="BL536" s="51">
        <f t="shared" si="509"/>
        <v>-63.726475958006944</v>
      </c>
      <c r="BM536" s="63">
        <f t="shared" si="510"/>
        <v>-128.40683080498226</v>
      </c>
    </row>
    <row r="537" spans="14:65" x14ac:dyDescent="0.3">
      <c r="N537" s="11">
        <v>19</v>
      </c>
      <c r="O537" s="52">
        <f t="shared" si="462"/>
        <v>1548816.6189124861</v>
      </c>
      <c r="P537" s="50" t="str">
        <f t="shared" si="463"/>
        <v>23.3035714285714</v>
      </c>
      <c r="Q537" s="18" t="str">
        <f t="shared" si="464"/>
        <v>1+5213.30454828562i</v>
      </c>
      <c r="R537" s="18">
        <f t="shared" si="475"/>
        <v>5213.3046441940769</v>
      </c>
      <c r="S537" s="18">
        <f t="shared" si="476"/>
        <v>1.5706045098813683</v>
      </c>
      <c r="T537" s="18" t="str">
        <f t="shared" si="465"/>
        <v>1+9.7315018234665i</v>
      </c>
      <c r="U537" s="18">
        <f t="shared" si="477"/>
        <v>9.7827464313520789</v>
      </c>
      <c r="V537" s="18">
        <f t="shared" si="478"/>
        <v>1.4683966824996388</v>
      </c>
      <c r="W537" s="32" t="str">
        <f t="shared" si="466"/>
        <v>1-23.7881155684737i</v>
      </c>
      <c r="X537" s="18">
        <f t="shared" si="479"/>
        <v>23.80912518970533</v>
      </c>
      <c r="Y537" s="18">
        <f t="shared" si="480"/>
        <v>-1.5287832651845832</v>
      </c>
      <c r="Z537" s="32" t="str">
        <f t="shared" si="467"/>
        <v>-8.59533167607804+11.6751260251583i</v>
      </c>
      <c r="AA537" s="18">
        <f t="shared" si="481"/>
        <v>14.497872061965479</v>
      </c>
      <c r="AB537" s="18">
        <f t="shared" si="482"/>
        <v>2.2054125476240758</v>
      </c>
      <c r="AC537" s="68" t="str">
        <f t="shared" si="483"/>
        <v>-0.0551657299540693+0.0459782386644953i</v>
      </c>
      <c r="AD537" s="66">
        <f t="shared" si="484"/>
        <v>-22.875812940282238</v>
      </c>
      <c r="AE537" s="63">
        <f t="shared" si="485"/>
        <v>140.19026290846509</v>
      </c>
      <c r="AF537" s="51" t="e">
        <f t="shared" si="486"/>
        <v>#NUM!</v>
      </c>
      <c r="AG537" s="51" t="str">
        <f t="shared" si="468"/>
        <v>1-7298.62636759989i</v>
      </c>
      <c r="AH537" s="51">
        <f t="shared" si="487"/>
        <v>7298.6264361059311</v>
      </c>
      <c r="AI537" s="51">
        <f t="shared" si="488"/>
        <v>-1.5706593147129819</v>
      </c>
      <c r="AJ537" s="51" t="str">
        <f t="shared" si="469"/>
        <v>1+9.7315018234665i</v>
      </c>
      <c r="AK537" s="51">
        <f t="shared" si="489"/>
        <v>9.7827464313520789</v>
      </c>
      <c r="AL537" s="51">
        <f t="shared" si="490"/>
        <v>1.4683966824996388</v>
      </c>
      <c r="AM537" s="51" t="e">
        <f t="shared" si="470"/>
        <v>#NUM!</v>
      </c>
      <c r="AN537" s="51" t="e">
        <f t="shared" si="491"/>
        <v>#NUM!</v>
      </c>
      <c r="AO537" s="51" t="e">
        <f t="shared" si="492"/>
        <v>#NUM!</v>
      </c>
      <c r="AP537" s="60" t="e">
        <f t="shared" si="493"/>
        <v>#NUM!</v>
      </c>
      <c r="AQ537" s="51" t="e">
        <f t="shared" si="494"/>
        <v>#NUM!</v>
      </c>
      <c r="AR537" s="63" t="e">
        <f t="shared" si="495"/>
        <v>#NUM!</v>
      </c>
      <c r="AS537" s="32" t="str">
        <f t="shared" si="471"/>
        <v>-0.000170731707317073</v>
      </c>
      <c r="AT537" s="32" t="str">
        <f t="shared" si="472"/>
        <v>0.369797069291727i</v>
      </c>
      <c r="AU537" s="32">
        <f t="shared" si="496"/>
        <v>0.36979706929172701</v>
      </c>
      <c r="AV537" s="32">
        <f t="shared" si="497"/>
        <v>1.5707963267948966</v>
      </c>
      <c r="AW537" s="32" t="str">
        <f t="shared" si="473"/>
        <v>1+78.7329715949089i</v>
      </c>
      <c r="AX537" s="32">
        <f t="shared" si="498"/>
        <v>78.73932191837018</v>
      </c>
      <c r="AY537" s="32">
        <f t="shared" si="499"/>
        <v>1.5580958505928628</v>
      </c>
      <c r="AZ537" s="32" t="str">
        <f t="shared" si="474"/>
        <v>1+1495.92646030327i</v>
      </c>
      <c r="BA537" s="32">
        <f t="shared" si="500"/>
        <v>1495.9267945442621</v>
      </c>
      <c r="BB537" s="32">
        <f t="shared" si="501"/>
        <v>1.570127844835669</v>
      </c>
      <c r="BC537" s="60" t="str">
        <f t="shared" si="502"/>
        <v>-0.000105535002734781+0.00877077463866664i</v>
      </c>
      <c r="BD537" s="51">
        <f t="shared" si="503"/>
        <v>-41.138612218762354</v>
      </c>
      <c r="BE537" s="63">
        <f t="shared" si="504"/>
        <v>90.689382489238497</v>
      </c>
      <c r="BF537" s="60" t="str">
        <f t="shared" si="505"/>
        <v>-0.000397442854147548-0.000488698498747882i</v>
      </c>
      <c r="BG537" s="66">
        <f t="shared" si="506"/>
        <v>-64.014425159044592</v>
      </c>
      <c r="BH537" s="63">
        <f t="shared" si="507"/>
        <v>-129.12035460229635</v>
      </c>
      <c r="BI537" s="60" t="e">
        <f t="shared" si="460"/>
        <v>#NUM!</v>
      </c>
      <c r="BJ537" s="66" t="e">
        <f t="shared" si="508"/>
        <v>#NUM!</v>
      </c>
      <c r="BK537" s="63" t="e">
        <f t="shared" si="461"/>
        <v>#NUM!</v>
      </c>
      <c r="BL537" s="51">
        <f t="shared" si="509"/>
        <v>-64.014425159044592</v>
      </c>
      <c r="BM537" s="63">
        <f t="shared" si="510"/>
        <v>-129.12035460229635</v>
      </c>
    </row>
    <row r="538" spans="14:65" x14ac:dyDescent="0.3">
      <c r="N538" s="11">
        <v>20</v>
      </c>
      <c r="O538" s="52">
        <f t="shared" si="462"/>
        <v>1584893.1924611153</v>
      </c>
      <c r="P538" s="50" t="str">
        <f t="shared" si="463"/>
        <v>23.3035714285714</v>
      </c>
      <c r="Q538" s="18" t="str">
        <f t="shared" si="464"/>
        <v>1+5334.73801088604i</v>
      </c>
      <c r="R538" s="18">
        <f t="shared" si="475"/>
        <v>5334.7381046113542</v>
      </c>
      <c r="S538" s="18">
        <f t="shared" si="476"/>
        <v>1.5706088761672843</v>
      </c>
      <c r="T538" s="18" t="str">
        <f t="shared" si="465"/>
        <v>1+9.95817762032063i</v>
      </c>
      <c r="U538" s="18">
        <f t="shared" si="477"/>
        <v>10.008261663138841</v>
      </c>
      <c r="V538" s="18">
        <f t="shared" si="478"/>
        <v>1.4707118695839552</v>
      </c>
      <c r="W538" s="32" t="str">
        <f t="shared" si="466"/>
        <v>1-24.3422119607838i</v>
      </c>
      <c r="X538" s="18">
        <f t="shared" si="479"/>
        <v>24.362743752371692</v>
      </c>
      <c r="Y538" s="18">
        <f t="shared" si="480"/>
        <v>-1.5297385123390426</v>
      </c>
      <c r="Z538" s="32" t="str">
        <f t="shared" si="467"/>
        <v>-9.0475457260384+11.9470746455392i</v>
      </c>
      <c r="AA538" s="18">
        <f t="shared" si="481"/>
        <v>14.986349663972254</v>
      </c>
      <c r="AB538" s="18">
        <f t="shared" si="482"/>
        <v>2.2189544766520268</v>
      </c>
      <c r="AC538" s="68" t="str">
        <f t="shared" si="483"/>
        <v>-0.0540371356119651+0.0461650650996936i</v>
      </c>
      <c r="AD538" s="66">
        <f t="shared" si="484"/>
        <v>-22.966032635717649</v>
      </c>
      <c r="AE538" s="63">
        <f t="shared" si="485"/>
        <v>139.49203617731484</v>
      </c>
      <c r="AF538" s="51" t="e">
        <f t="shared" si="486"/>
        <v>#NUM!</v>
      </c>
      <c r="AG538" s="51" t="str">
        <f t="shared" si="468"/>
        <v>1-7468.63321524049i</v>
      </c>
      <c r="AH538" s="51">
        <f t="shared" si="487"/>
        <v>7468.6332821871429</v>
      </c>
      <c r="AI538" s="51">
        <f t="shared" si="488"/>
        <v>-1.5706624334886912</v>
      </c>
      <c r="AJ538" s="51" t="str">
        <f t="shared" si="469"/>
        <v>1+9.95817762032063i</v>
      </c>
      <c r="AK538" s="51">
        <f t="shared" si="489"/>
        <v>10.008261663138841</v>
      </c>
      <c r="AL538" s="51">
        <f t="shared" si="490"/>
        <v>1.4707118695839552</v>
      </c>
      <c r="AM538" s="51" t="e">
        <f t="shared" si="470"/>
        <v>#NUM!</v>
      </c>
      <c r="AN538" s="51" t="e">
        <f t="shared" si="491"/>
        <v>#NUM!</v>
      </c>
      <c r="AO538" s="51" t="e">
        <f t="shared" si="492"/>
        <v>#NUM!</v>
      </c>
      <c r="AP538" s="60" t="e">
        <f t="shared" si="493"/>
        <v>#NUM!</v>
      </c>
      <c r="AQ538" s="51" t="e">
        <f t="shared" si="494"/>
        <v>#NUM!</v>
      </c>
      <c r="AR538" s="63" t="e">
        <f t="shared" si="495"/>
        <v>#NUM!</v>
      </c>
      <c r="AS538" s="32" t="str">
        <f t="shared" si="471"/>
        <v>-0.000170731707317073</v>
      </c>
      <c r="AT538" s="32" t="str">
        <f t="shared" si="472"/>
        <v>0.378410749572184i</v>
      </c>
      <c r="AU538" s="32">
        <f t="shared" si="496"/>
        <v>0.37841074957218401</v>
      </c>
      <c r="AV538" s="32">
        <f t="shared" si="497"/>
        <v>1.5707963267948966</v>
      </c>
      <c r="AW538" s="32" t="str">
        <f t="shared" si="473"/>
        <v>1+80.5668980945097i</v>
      </c>
      <c r="AX538" s="32">
        <f t="shared" si="498"/>
        <v>80.573103878224202</v>
      </c>
      <c r="AY538" s="32">
        <f t="shared" si="499"/>
        <v>1.5583849186925767</v>
      </c>
      <c r="AZ538" s="32" t="str">
        <f t="shared" si="474"/>
        <v>1+1530.77106379569i</v>
      </c>
      <c r="BA538" s="32">
        <f t="shared" si="500"/>
        <v>1530.7713904284299</v>
      </c>
      <c r="BB538" s="32">
        <f t="shared" si="501"/>
        <v>1.5701430613384224</v>
      </c>
      <c r="BC538" s="60" t="str">
        <f t="shared" si="502"/>
        <v>-0.00010078587682245+0.00857118637988694i</v>
      </c>
      <c r="BD538" s="51">
        <f t="shared" si="503"/>
        <v>-41.338580778821793</v>
      </c>
      <c r="BE538" s="63">
        <f t="shared" si="504"/>
        <v>90.673691948519746</v>
      </c>
      <c r="BF538" s="60" t="str">
        <f t="shared" si="505"/>
        <v>-0.000390243197115462-0.000467815147330017i</v>
      </c>
      <c r="BG538" s="66">
        <f t="shared" si="506"/>
        <v>-64.304613414539432</v>
      </c>
      <c r="BH538" s="63">
        <f t="shared" si="507"/>
        <v>-129.83427187416535</v>
      </c>
      <c r="BI538" s="60" t="e">
        <f t="shared" si="460"/>
        <v>#NUM!</v>
      </c>
      <c r="BJ538" s="66" t="e">
        <f t="shared" si="508"/>
        <v>#NUM!</v>
      </c>
      <c r="BK538" s="63" t="e">
        <f t="shared" si="461"/>
        <v>#NUM!</v>
      </c>
      <c r="BL538" s="51">
        <f t="shared" si="509"/>
        <v>-64.304613414539432</v>
      </c>
      <c r="BM538" s="63">
        <f t="shared" si="510"/>
        <v>-129.83427187416535</v>
      </c>
    </row>
    <row r="539" spans="14:65" x14ac:dyDescent="0.3">
      <c r="N539" s="11">
        <v>21</v>
      </c>
      <c r="O539" s="52">
        <f t="shared" si="462"/>
        <v>1621810.0973589318</v>
      </c>
      <c r="P539" s="50" t="str">
        <f t="shared" si="463"/>
        <v>23.3035714285714</v>
      </c>
      <c r="Q539" s="18" t="str">
        <f t="shared" si="464"/>
        <v>1+5459.00002219344i</v>
      </c>
      <c r="R539" s="18">
        <f t="shared" si="475"/>
        <v>5459.0001137853051</v>
      </c>
      <c r="S539" s="18">
        <f t="shared" si="476"/>
        <v>1.5706131430644059</v>
      </c>
      <c r="T539" s="18" t="str">
        <f t="shared" si="465"/>
        <v>1+10.1901333747611i</v>
      </c>
      <c r="U539" s="18">
        <f t="shared" si="477"/>
        <v>10.239082878628341</v>
      </c>
      <c r="V539" s="18">
        <f t="shared" si="478"/>
        <v>1.4729753972773798</v>
      </c>
      <c r="W539" s="32" t="str">
        <f t="shared" si="466"/>
        <v>1-24.9092149160827i</v>
      </c>
      <c r="X539" s="18">
        <f t="shared" si="479"/>
        <v>24.929279727573295</v>
      </c>
      <c r="Y539" s="18">
        <f t="shared" si="480"/>
        <v>-1.5306720878639339</v>
      </c>
      <c r="Z539" s="32" t="str">
        <f t="shared" si="467"/>
        <v>-9.5210719675815+12.2253577630353i</v>
      </c>
      <c r="AA539" s="18">
        <f t="shared" si="481"/>
        <v>15.495489145105219</v>
      </c>
      <c r="AB539" s="18">
        <f t="shared" si="482"/>
        <v>2.2324742367951593</v>
      </c>
      <c r="AC539" s="68" t="str">
        <f t="shared" si="483"/>
        <v>-0.0529039688674324+0.0463247429070263i</v>
      </c>
      <c r="AD539" s="66">
        <f t="shared" si="484"/>
        <v>-23.058502394235223</v>
      </c>
      <c r="AE539" s="63">
        <f t="shared" si="485"/>
        <v>138.79336715209865</v>
      </c>
      <c r="AF539" s="51" t="e">
        <f t="shared" si="486"/>
        <v>#NUM!</v>
      </c>
      <c r="AG539" s="51" t="str">
        <f t="shared" si="468"/>
        <v>1-7642.60003107084i</v>
      </c>
      <c r="AH539" s="51">
        <f t="shared" si="487"/>
        <v>7642.6000964936002</v>
      </c>
      <c r="AI539" s="51">
        <f t="shared" si="488"/>
        <v>-1.5706654812724006</v>
      </c>
      <c r="AJ539" s="51" t="str">
        <f t="shared" si="469"/>
        <v>1+10.1901333747611i</v>
      </c>
      <c r="AK539" s="51">
        <f t="shared" si="489"/>
        <v>10.239082878628341</v>
      </c>
      <c r="AL539" s="51">
        <f t="shared" si="490"/>
        <v>1.4729753972773798</v>
      </c>
      <c r="AM539" s="51" t="e">
        <f t="shared" si="470"/>
        <v>#NUM!</v>
      </c>
      <c r="AN539" s="51" t="e">
        <f t="shared" si="491"/>
        <v>#NUM!</v>
      </c>
      <c r="AO539" s="51" t="e">
        <f t="shared" si="492"/>
        <v>#NUM!</v>
      </c>
      <c r="AP539" s="60" t="e">
        <f t="shared" si="493"/>
        <v>#NUM!</v>
      </c>
      <c r="AQ539" s="51" t="e">
        <f t="shared" si="494"/>
        <v>#NUM!</v>
      </c>
      <c r="AR539" s="63" t="e">
        <f t="shared" si="495"/>
        <v>#NUM!</v>
      </c>
      <c r="AS539" s="32" t="str">
        <f t="shared" si="471"/>
        <v>-0.000170731707317073</v>
      </c>
      <c r="AT539" s="32" t="str">
        <f t="shared" si="472"/>
        <v>0.387225068240923i</v>
      </c>
      <c r="AU539" s="32">
        <f t="shared" si="496"/>
        <v>0.38722506824092301</v>
      </c>
      <c r="AV539" s="32">
        <f t="shared" si="497"/>
        <v>1.5707963267948966</v>
      </c>
      <c r="AW539" s="32" t="str">
        <f t="shared" si="473"/>
        <v>1+82.4435422299092i</v>
      </c>
      <c r="AX539" s="32">
        <f t="shared" si="498"/>
        <v>82.44960676325158</v>
      </c>
      <c r="AY539" s="32">
        <f t="shared" si="499"/>
        <v>1.5586674088033985</v>
      </c>
      <c r="AZ539" s="32" t="str">
        <f t="shared" si="474"/>
        <v>1+1566.42730236828i</v>
      </c>
      <c r="BA539" s="32">
        <f t="shared" si="500"/>
        <v>1566.4276215659524</v>
      </c>
      <c r="BB539" s="32">
        <f t="shared" si="501"/>
        <v>1.5701579314715781</v>
      </c>
      <c r="BC539" s="60" t="str">
        <f t="shared" si="502"/>
        <v>-0.0000962504324187328+0.00837613737090593i</v>
      </c>
      <c r="BD539" s="51">
        <f t="shared" si="503"/>
        <v>-41.538550753698004</v>
      </c>
      <c r="BE539" s="63">
        <f t="shared" si="504"/>
        <v>90.658358453286098</v>
      </c>
      <c r="BF539" s="60" t="str">
        <f t="shared" si="505"/>
        <v>-0.000382930380380995-0.000447589687236232i</v>
      </c>
      <c r="BG539" s="66">
        <f t="shared" si="506"/>
        <v>-64.597053147933224</v>
      </c>
      <c r="BH539" s="63">
        <f t="shared" si="507"/>
        <v>-130.54827439461528</v>
      </c>
      <c r="BI539" s="60" t="e">
        <f t="shared" si="460"/>
        <v>#NUM!</v>
      </c>
      <c r="BJ539" s="66" t="e">
        <f t="shared" si="508"/>
        <v>#NUM!</v>
      </c>
      <c r="BK539" s="63" t="e">
        <f t="shared" si="461"/>
        <v>#NUM!</v>
      </c>
      <c r="BL539" s="51">
        <f t="shared" si="509"/>
        <v>-64.597053147933224</v>
      </c>
      <c r="BM539" s="63">
        <f t="shared" si="510"/>
        <v>-130.54827439461528</v>
      </c>
    </row>
    <row r="540" spans="14:65" x14ac:dyDescent="0.3">
      <c r="N540" s="11">
        <v>22</v>
      </c>
      <c r="O540" s="52">
        <f t="shared" si="462"/>
        <v>1659586.9074375622</v>
      </c>
      <c r="P540" s="50" t="str">
        <f t="shared" si="463"/>
        <v>23.3035714285714</v>
      </c>
      <c r="Q540" s="18" t="str">
        <f t="shared" si="464"/>
        <v>1+5586.15646757104i</v>
      </c>
      <c r="R540" s="18">
        <f t="shared" si="475"/>
        <v>5586.1565570780203</v>
      </c>
      <c r="S540" s="18">
        <f t="shared" si="476"/>
        <v>1.5706173128350973</v>
      </c>
      <c r="T540" s="18" t="str">
        <f t="shared" si="465"/>
        <v>1+10.4274920727993i</v>
      </c>
      <c r="U540" s="18">
        <f t="shared" si="477"/>
        <v>10.475332497266722</v>
      </c>
      <c r="V540" s="18">
        <f t="shared" si="478"/>
        <v>1.4751883729028188</v>
      </c>
      <c r="W540" s="32" t="str">
        <f t="shared" si="466"/>
        <v>1-25.4894250668427i</v>
      </c>
      <c r="X540" s="18">
        <f t="shared" si="479"/>
        <v>25.509033502627826</v>
      </c>
      <c r="Y540" s="18">
        <f t="shared" si="480"/>
        <v>-1.5315844802402863</v>
      </c>
      <c r="Z540" s="32" t="str">
        <f t="shared" si="467"/>
        <v>-10.0169148133527+12.5101229270391i</v>
      </c>
      <c r="AA540" s="18">
        <f t="shared" si="481"/>
        <v>16.026283350408921</v>
      </c>
      <c r="AB540" s="18">
        <f t="shared" si="482"/>
        <v>2.245966845099054</v>
      </c>
      <c r="AC540" s="68" t="str">
        <f t="shared" si="483"/>
        <v>-0.0517673881675265+0.0464570665232054i</v>
      </c>
      <c r="AD540" s="66">
        <f t="shared" si="484"/>
        <v>-23.153232286921877</v>
      </c>
      <c r="AE540" s="63">
        <f t="shared" si="485"/>
        <v>138.09457666247826</v>
      </c>
      <c r="AF540" s="51" t="e">
        <f t="shared" si="486"/>
        <v>#NUM!</v>
      </c>
      <c r="AG540" s="51" t="str">
        <f t="shared" si="468"/>
        <v>1-7820.6190545995i</v>
      </c>
      <c r="AH540" s="51">
        <f t="shared" si="487"/>
        <v>7820.6191185330572</v>
      </c>
      <c r="AI540" s="51">
        <f t="shared" si="488"/>
        <v>-1.5706684596800853</v>
      </c>
      <c r="AJ540" s="51" t="str">
        <f t="shared" si="469"/>
        <v>1+10.4274920727993i</v>
      </c>
      <c r="AK540" s="51">
        <f t="shared" si="489"/>
        <v>10.475332497266722</v>
      </c>
      <c r="AL540" s="51">
        <f t="shared" si="490"/>
        <v>1.4751883729028188</v>
      </c>
      <c r="AM540" s="51" t="e">
        <f t="shared" si="470"/>
        <v>#NUM!</v>
      </c>
      <c r="AN540" s="51" t="e">
        <f t="shared" si="491"/>
        <v>#NUM!</v>
      </c>
      <c r="AO540" s="51" t="e">
        <f t="shared" si="492"/>
        <v>#NUM!</v>
      </c>
      <c r="AP540" s="60" t="e">
        <f t="shared" si="493"/>
        <v>#NUM!</v>
      </c>
      <c r="AQ540" s="51" t="e">
        <f t="shared" si="494"/>
        <v>#NUM!</v>
      </c>
      <c r="AR540" s="63" t="e">
        <f t="shared" si="495"/>
        <v>#NUM!</v>
      </c>
      <c r="AS540" s="32" t="str">
        <f t="shared" si="471"/>
        <v>-0.000170731707317073</v>
      </c>
      <c r="AT540" s="32" t="str">
        <f t="shared" si="472"/>
        <v>0.396244698766373i</v>
      </c>
      <c r="AU540" s="32">
        <f t="shared" si="496"/>
        <v>0.39624469876637303</v>
      </c>
      <c r="AV540" s="32">
        <f t="shared" si="497"/>
        <v>1.5707963267948966</v>
      </c>
      <c r="AW540" s="32" t="str">
        <f t="shared" si="473"/>
        <v>1+84.3638990226688i</v>
      </c>
      <c r="AX540" s="32">
        <f t="shared" si="498"/>
        <v>84.369825520188556</v>
      </c>
      <c r="AY540" s="32">
        <f t="shared" si="499"/>
        <v>1.558943470524877</v>
      </c>
      <c r="AZ540" s="32" t="str">
        <f t="shared" si="474"/>
        <v>1+1602.91408143071i</v>
      </c>
      <c r="BA540" s="32">
        <f t="shared" si="500"/>
        <v>1602.914393362558</v>
      </c>
      <c r="BB540" s="32">
        <f t="shared" si="501"/>
        <v>1.5701724631194511</v>
      </c>
      <c r="BC540" s="60" t="str">
        <f t="shared" si="502"/>
        <v>-0.0000919190579339202+0.00818552454825179i</v>
      </c>
      <c r="BD540" s="51">
        <f t="shared" si="503"/>
        <v>-41.738522079732547</v>
      </c>
      <c r="BE540" s="63">
        <f t="shared" si="504"/>
        <v>90.643373883852746</v>
      </c>
      <c r="BF540" s="60" t="str">
        <f t="shared" si="505"/>
        <v>-0.000375517048913406-0.000428013516433354i</v>
      </c>
      <c r="BG540" s="66">
        <f t="shared" si="506"/>
        <v>-64.891754366654425</v>
      </c>
      <c r="BH540" s="63">
        <f t="shared" si="507"/>
        <v>-131.26204945366902</v>
      </c>
      <c r="BI540" s="60" t="e">
        <f t="shared" si="460"/>
        <v>#NUM!</v>
      </c>
      <c r="BJ540" s="66" t="e">
        <f t="shared" si="508"/>
        <v>#NUM!</v>
      </c>
      <c r="BK540" s="63" t="e">
        <f t="shared" si="461"/>
        <v>#NUM!</v>
      </c>
      <c r="BL540" s="51">
        <f t="shared" si="509"/>
        <v>-64.891754366654425</v>
      </c>
      <c r="BM540" s="63">
        <f t="shared" si="510"/>
        <v>-131.26204945366902</v>
      </c>
    </row>
    <row r="541" spans="14:65" x14ac:dyDescent="0.3">
      <c r="N541" s="11">
        <v>23</v>
      </c>
      <c r="O541" s="52">
        <f t="shared" si="462"/>
        <v>1698243.6524617488</v>
      </c>
      <c r="P541" s="50" t="str">
        <f t="shared" si="463"/>
        <v>23.3035714285714</v>
      </c>
      <c r="Q541" s="18" t="str">
        <f t="shared" si="464"/>
        <v>1+5716.27476704929i</v>
      </c>
      <c r="R541" s="18">
        <f t="shared" si="475"/>
        <v>5716.2748545188424</v>
      </c>
      <c r="S541" s="18">
        <f t="shared" si="476"/>
        <v>1.570621387690226</v>
      </c>
      <c r="T541" s="18" t="str">
        <f t="shared" si="465"/>
        <v>1+10.6703795651587i</v>
      </c>
      <c r="U541" s="18">
        <f t="shared" si="477"/>
        <v>10.717135814412188</v>
      </c>
      <c r="V541" s="18">
        <f t="shared" si="478"/>
        <v>1.4773518830614003</v>
      </c>
      <c r="W541" s="32" t="str">
        <f t="shared" si="466"/>
        <v>1-26.0831500481657i</v>
      </c>
      <c r="X541" s="18">
        <f t="shared" si="479"/>
        <v>26.102312472942437</v>
      </c>
      <c r="Y541" s="18">
        <f t="shared" si="480"/>
        <v>-1.5324761671509086</v>
      </c>
      <c r="Z541" s="32" t="str">
        <f t="shared" si="467"/>
        <v>-10.5361260125066+12.80152112381i</v>
      </c>
      <c r="AA541" s="18">
        <f t="shared" si="481"/>
        <v>16.579773654509637</v>
      </c>
      <c r="AB541" s="18">
        <f t="shared" si="482"/>
        <v>2.2594272495556043</v>
      </c>
      <c r="AC541" s="68" t="str">
        <f t="shared" si="483"/>
        <v>-0.0506285679334864+0.0465618964471054i</v>
      </c>
      <c r="AD541" s="66">
        <f t="shared" si="484"/>
        <v>-23.25022993222511</v>
      </c>
      <c r="AE541" s="63">
        <f t="shared" si="485"/>
        <v>137.39598892897254</v>
      </c>
      <c r="AF541" s="51" t="e">
        <f t="shared" si="486"/>
        <v>#NUM!</v>
      </c>
      <c r="AG541" s="51" t="str">
        <f t="shared" si="468"/>
        <v>1-8002.78467386905i</v>
      </c>
      <c r="AH541" s="51">
        <f t="shared" si="487"/>
        <v>8002.7847363473011</v>
      </c>
      <c r="AI541" s="51">
        <f t="shared" si="488"/>
        <v>-1.5706713702909361</v>
      </c>
      <c r="AJ541" s="51" t="str">
        <f t="shared" si="469"/>
        <v>1+10.6703795651587i</v>
      </c>
      <c r="AK541" s="51">
        <f t="shared" si="489"/>
        <v>10.717135814412188</v>
      </c>
      <c r="AL541" s="51">
        <f t="shared" si="490"/>
        <v>1.4773518830614003</v>
      </c>
      <c r="AM541" s="51" t="e">
        <f t="shared" si="470"/>
        <v>#NUM!</v>
      </c>
      <c r="AN541" s="51" t="e">
        <f t="shared" si="491"/>
        <v>#NUM!</v>
      </c>
      <c r="AO541" s="51" t="e">
        <f t="shared" si="492"/>
        <v>#NUM!</v>
      </c>
      <c r="AP541" s="60" t="e">
        <f t="shared" si="493"/>
        <v>#NUM!</v>
      </c>
      <c r="AQ541" s="51" t="e">
        <f t="shared" si="494"/>
        <v>#NUM!</v>
      </c>
      <c r="AR541" s="63" t="e">
        <f t="shared" si="495"/>
        <v>#NUM!</v>
      </c>
      <c r="AS541" s="32" t="str">
        <f t="shared" si="471"/>
        <v>-0.000170731707317073</v>
      </c>
      <c r="AT541" s="32" t="str">
        <f t="shared" si="472"/>
        <v>0.405474423476029i</v>
      </c>
      <c r="AU541" s="32">
        <f t="shared" si="496"/>
        <v>0.40547442347602902</v>
      </c>
      <c r="AV541" s="32">
        <f t="shared" si="497"/>
        <v>1.5707963267948966</v>
      </c>
      <c r="AW541" s="32" t="str">
        <f t="shared" si="473"/>
        <v>1+86.3289866713786i</v>
      </c>
      <c r="AX541" s="32">
        <f t="shared" si="498"/>
        <v>86.334778274499925</v>
      </c>
      <c r="AY541" s="32">
        <f t="shared" si="499"/>
        <v>1.5592132500601856</v>
      </c>
      <c r="AZ541" s="32" t="str">
        <f t="shared" si="474"/>
        <v>1+1640.2507467562i</v>
      </c>
      <c r="BA541" s="32">
        <f t="shared" si="500"/>
        <v>1640.2510515876136</v>
      </c>
      <c r="BB541" s="32">
        <f t="shared" si="501"/>
        <v>1.5701866639868891</v>
      </c>
      <c r="BC541" s="60" t="str">
        <f t="shared" si="502"/>
        <v>-0.000087782573873027+0.00799924717695435i</v>
      </c>
      <c r="BD541" s="51">
        <f t="shared" si="503"/>
        <v>-41.938494696130427</v>
      </c>
      <c r="BE541" s="63">
        <f t="shared" si="504"/>
        <v>90.628730304850194</v>
      </c>
      <c r="BF541" s="60" t="str">
        <f t="shared" si="505"/>
        <v>-0.000368015812703442-0.000409077752229719i</v>
      </c>
      <c r="BG541" s="66">
        <f t="shared" si="506"/>
        <v>-65.18872462835553</v>
      </c>
      <c r="BH541" s="63">
        <f t="shared" si="507"/>
        <v>-131.97528076617726</v>
      </c>
      <c r="BI541" s="60" t="e">
        <f t="shared" si="460"/>
        <v>#NUM!</v>
      </c>
      <c r="BJ541" s="66" t="e">
        <f t="shared" si="508"/>
        <v>#NUM!</v>
      </c>
      <c r="BK541" s="63" t="e">
        <f t="shared" si="461"/>
        <v>#NUM!</v>
      </c>
      <c r="BL541" s="51">
        <f t="shared" si="509"/>
        <v>-65.18872462835553</v>
      </c>
      <c r="BM541" s="63">
        <f t="shared" si="510"/>
        <v>-131.97528076617726</v>
      </c>
    </row>
    <row r="542" spans="14:65" x14ac:dyDescent="0.3">
      <c r="N542" s="11">
        <v>24</v>
      </c>
      <c r="O542" s="52">
        <f t="shared" si="462"/>
        <v>1737800.8287493798</v>
      </c>
      <c r="P542" s="50" t="str">
        <f t="shared" si="463"/>
        <v>23.3035714285714</v>
      </c>
      <c r="Q542" s="18" t="str">
        <f t="shared" si="464"/>
        <v>1+5849.42391107281i</v>
      </c>
      <c r="R542" s="18">
        <f t="shared" si="475"/>
        <v>5849.4239965513134</v>
      </c>
      <c r="S542" s="18">
        <f t="shared" si="476"/>
        <v>1.5706253697903334</v>
      </c>
      <c r="T542" s="18" t="str">
        <f t="shared" si="465"/>
        <v>1+10.9189246340026i</v>
      </c>
      <c r="U542" s="18">
        <f t="shared" si="477"/>
        <v>10.964621067917889</v>
      </c>
      <c r="V542" s="18">
        <f t="shared" si="478"/>
        <v>1.4794669938149458</v>
      </c>
      <c r="W542" s="32" t="str">
        <f t="shared" si="466"/>
        <v>1-26.6907046608952i</v>
      </c>
      <c r="X542" s="18">
        <f t="shared" si="479"/>
        <v>26.709431205009455</v>
      </c>
      <c r="Y542" s="18">
        <f t="shared" si="480"/>
        <v>-1.5333476157048858</v>
      </c>
      <c r="Z542" s="32" t="str">
        <f t="shared" si="467"/>
        <v>-11.0798068816081+13.0997068565288i</v>
      </c>
      <c r="AA542" s="18">
        <f t="shared" si="481"/>
        <v>17.157052201958173</v>
      </c>
      <c r="AB542" s="18">
        <f t="shared" si="482"/>
        <v>2.2728503451530333</v>
      </c>
      <c r="AC542" s="68" t="str">
        <f t="shared" si="483"/>
        <v>-0.04948869359698+0.0466391604106677i</v>
      </c>
      <c r="AD542" s="66">
        <f t="shared" si="484"/>
        <v>-23.349500472122521</v>
      </c>
      <c r="AE542" s="63">
        <f t="shared" si="485"/>
        <v>136.69793064088469</v>
      </c>
      <c r="AF542" s="51" t="e">
        <f t="shared" si="486"/>
        <v>#NUM!</v>
      </c>
      <c r="AG542" s="51" t="str">
        <f t="shared" si="468"/>
        <v>1-8189.19347550197i</v>
      </c>
      <c r="AH542" s="51">
        <f t="shared" si="487"/>
        <v>8189.1935365580439</v>
      </c>
      <c r="AI542" s="51">
        <f t="shared" si="488"/>
        <v>-1.5706742146481973</v>
      </c>
      <c r="AJ542" s="51" t="str">
        <f t="shared" si="469"/>
        <v>1+10.9189246340026i</v>
      </c>
      <c r="AK542" s="51">
        <f t="shared" si="489"/>
        <v>10.964621067917889</v>
      </c>
      <c r="AL542" s="51">
        <f t="shared" si="490"/>
        <v>1.4794669938149458</v>
      </c>
      <c r="AM542" s="51" t="e">
        <f t="shared" si="470"/>
        <v>#NUM!</v>
      </c>
      <c r="AN542" s="51" t="e">
        <f t="shared" si="491"/>
        <v>#NUM!</v>
      </c>
      <c r="AO542" s="51" t="e">
        <f t="shared" si="492"/>
        <v>#NUM!</v>
      </c>
      <c r="AP542" s="60" t="e">
        <f t="shared" si="493"/>
        <v>#NUM!</v>
      </c>
      <c r="AQ542" s="51" t="e">
        <f t="shared" si="494"/>
        <v>#NUM!</v>
      </c>
      <c r="AR542" s="63" t="e">
        <f t="shared" si="495"/>
        <v>#NUM!</v>
      </c>
      <c r="AS542" s="32" t="str">
        <f t="shared" si="471"/>
        <v>-0.000170731707317073</v>
      </c>
      <c r="AT542" s="32" t="str">
        <f t="shared" si="472"/>
        <v>0.414919136092099i</v>
      </c>
      <c r="AU542" s="32">
        <f t="shared" si="496"/>
        <v>0.41491913609209902</v>
      </c>
      <c r="AV542" s="32">
        <f t="shared" si="497"/>
        <v>1.5707963267948966</v>
      </c>
      <c r="AW542" s="32" t="str">
        <f t="shared" si="473"/>
        <v>1+88.3398470915199i</v>
      </c>
      <c r="AX542" s="32">
        <f t="shared" si="498"/>
        <v>88.345506870203181</v>
      </c>
      <c r="AY542" s="32">
        <f t="shared" si="499"/>
        <v>1.5594768902928353</v>
      </c>
      <c r="AZ542" s="32" t="str">
        <f t="shared" si="474"/>
        <v>1+1678.45709473888i</v>
      </c>
      <c r="BA542" s="32">
        <f t="shared" si="500"/>
        <v>1678.4573926314847</v>
      </c>
      <c r="BB542" s="32">
        <f t="shared" si="501"/>
        <v>1.5702005416033571</v>
      </c>
      <c r="BC542" s="60" t="str">
        <f t="shared" si="502"/>
        <v>-0.0000838322134321308+0.00781720679870952i</v>
      </c>
      <c r="BD542" s="51">
        <f t="shared" si="503"/>
        <v>-42.138468544831376</v>
      </c>
      <c r="BE542" s="63">
        <f t="shared" si="504"/>
        <v>90.614419961062822</v>
      </c>
      <c r="BF542" s="60" t="str">
        <f t="shared" si="505"/>
        <v>-0.000360439215124276-0.000390773216095407i</v>
      </c>
      <c r="BG542" s="66">
        <f t="shared" si="506"/>
        <v>-65.487969016953912</v>
      </c>
      <c r="BH542" s="63">
        <f t="shared" si="507"/>
        <v>-132.68764939805246</v>
      </c>
      <c r="BI542" s="60" t="e">
        <f t="shared" si="460"/>
        <v>#NUM!</v>
      </c>
      <c r="BJ542" s="66" t="e">
        <f t="shared" si="508"/>
        <v>#NUM!</v>
      </c>
      <c r="BK542" s="63" t="e">
        <f t="shared" si="461"/>
        <v>#NUM!</v>
      </c>
      <c r="BL542" s="51">
        <f t="shared" si="509"/>
        <v>-65.487969016953912</v>
      </c>
      <c r="BM542" s="63">
        <f t="shared" si="510"/>
        <v>-132.68764939805246</v>
      </c>
    </row>
    <row r="543" spans="14:65" x14ac:dyDescent="0.3">
      <c r="N543" s="11">
        <v>25</v>
      </c>
      <c r="O543" s="52">
        <f t="shared" si="462"/>
        <v>1778279.4100389241</v>
      </c>
      <c r="P543" s="50" t="str">
        <f t="shared" si="463"/>
        <v>23.3035714285714</v>
      </c>
      <c r="Q543" s="18" t="str">
        <f t="shared" si="464"/>
        <v>1+5985.67449708026i</v>
      </c>
      <c r="R543" s="18">
        <f t="shared" si="475"/>
        <v>5985.6745806130339</v>
      </c>
      <c r="S543" s="18">
        <f t="shared" si="476"/>
        <v>1.5706292612467809</v>
      </c>
      <c r="T543" s="18" t="str">
        <f t="shared" si="465"/>
        <v>1+11.1732590612165i</v>
      </c>
      <c r="U543" s="18">
        <f t="shared" si="477"/>
        <v>11.217919506265705</v>
      </c>
      <c r="V543" s="18">
        <f t="shared" si="478"/>
        <v>1.4815347508825225</v>
      </c>
      <c r="W543" s="32" t="str">
        <f t="shared" si="466"/>
        <v>1-27.3124110385292i</v>
      </c>
      <c r="X543" s="18">
        <f t="shared" si="479"/>
        <v>27.330711603205131</v>
      </c>
      <c r="Y543" s="18">
        <f t="shared" si="480"/>
        <v>-1.534199282658373</v>
      </c>
      <c r="Z543" s="32" t="str">
        <f t="shared" si="467"/>
        <v>-11.6491106406735+13.404838227218i</v>
      </c>
      <c r="AA543" s="18">
        <f t="shared" si="481"/>
        <v>17.759264247612784</v>
      </c>
      <c r="AB543" s="18">
        <f t="shared" si="482"/>
        <v>2.2862309901492925</v>
      </c>
      <c r="AC543" s="68" t="str">
        <f t="shared" si="483"/>
        <v>-0.0483489565428204+0.0466888541131602i</v>
      </c>
      <c r="AD543" s="66">
        <f t="shared" si="484"/>
        <v>-23.451046558327807</v>
      </c>
      <c r="AE543" s="63">
        <f t="shared" si="485"/>
        <v>136.00073002245048</v>
      </c>
      <c r="AF543" s="51" t="e">
        <f t="shared" si="486"/>
        <v>#NUM!</v>
      </c>
      <c r="AG543" s="51" t="str">
        <f t="shared" si="468"/>
        <v>1-8379.9442959124i</v>
      </c>
      <c r="AH543" s="51">
        <f t="shared" si="487"/>
        <v>8379.9443555786675</v>
      </c>
      <c r="AI543" s="51">
        <f t="shared" si="488"/>
        <v>-1.5706769942599845</v>
      </c>
      <c r="AJ543" s="51" t="str">
        <f t="shared" si="469"/>
        <v>1+11.1732590612165i</v>
      </c>
      <c r="AK543" s="51">
        <f t="shared" si="489"/>
        <v>11.217919506265705</v>
      </c>
      <c r="AL543" s="51">
        <f t="shared" si="490"/>
        <v>1.4815347508825225</v>
      </c>
      <c r="AM543" s="51" t="e">
        <f t="shared" si="470"/>
        <v>#NUM!</v>
      </c>
      <c r="AN543" s="51" t="e">
        <f t="shared" si="491"/>
        <v>#NUM!</v>
      </c>
      <c r="AO543" s="51" t="e">
        <f t="shared" si="492"/>
        <v>#NUM!</v>
      </c>
      <c r="AP543" s="60" t="e">
        <f t="shared" si="493"/>
        <v>#NUM!</v>
      </c>
      <c r="AQ543" s="51" t="e">
        <f t="shared" si="494"/>
        <v>#NUM!</v>
      </c>
      <c r="AR543" s="63" t="e">
        <f t="shared" si="495"/>
        <v>#NUM!</v>
      </c>
      <c r="AS543" s="32" t="str">
        <f t="shared" si="471"/>
        <v>-0.000170731707317073</v>
      </c>
      <c r="AT543" s="32" t="str">
        <f t="shared" si="472"/>
        <v>0.424583844326229i</v>
      </c>
      <c r="AU543" s="32">
        <f t="shared" si="496"/>
        <v>0.42458384432622898</v>
      </c>
      <c r="AV543" s="32">
        <f t="shared" si="497"/>
        <v>1.5707963267948966</v>
      </c>
      <c r="AW543" s="32" t="str">
        <f t="shared" si="473"/>
        <v>1+90.3975464679052i</v>
      </c>
      <c r="AX543" s="32">
        <f t="shared" si="498"/>
        <v>90.403077422270741</v>
      </c>
      <c r="AY543" s="32">
        <f t="shared" si="499"/>
        <v>1.5597345308616866</v>
      </c>
      <c r="AZ543" s="32" t="str">
        <f t="shared" si="474"/>
        <v>1+1717.5533828902i</v>
      </c>
      <c r="BA543" s="32">
        <f t="shared" si="500"/>
        <v>1717.5536740019422</v>
      </c>
      <c r="BB543" s="32">
        <f t="shared" si="501"/>
        <v>1.5702141033269292</v>
      </c>
      <c r="BC543" s="60" t="str">
        <f t="shared" si="502"/>
        <v>-0.000080059603964167+0.00763930718114609i</v>
      </c>
      <c r="BD543" s="51">
        <f t="shared" si="503"/>
        <v>-42.338443570386787</v>
      </c>
      <c r="BE543" s="63">
        <f t="shared" si="504"/>
        <v>90.600435273359906</v>
      </c>
      <c r="BF543" s="60" t="str">
        <f t="shared" si="505"/>
        <v>-0.000352799700193248-0.000373090422088328i</v>
      </c>
      <c r="BG543" s="66">
        <f t="shared" si="506"/>
        <v>-65.789490128714604</v>
      </c>
      <c r="BH543" s="63">
        <f t="shared" si="507"/>
        <v>-133.3988347041896</v>
      </c>
      <c r="BI543" s="60" t="e">
        <f t="shared" si="460"/>
        <v>#NUM!</v>
      </c>
      <c r="BJ543" s="66" t="e">
        <f t="shared" si="508"/>
        <v>#NUM!</v>
      </c>
      <c r="BK543" s="63" t="e">
        <f t="shared" si="461"/>
        <v>#NUM!</v>
      </c>
      <c r="BL543" s="51">
        <f t="shared" si="509"/>
        <v>-65.789490128714604</v>
      </c>
      <c r="BM543" s="63">
        <f t="shared" si="510"/>
        <v>-133.3988347041896</v>
      </c>
    </row>
    <row r="544" spans="14:65" x14ac:dyDescent="0.3">
      <c r="N544" s="11">
        <v>26</v>
      </c>
      <c r="O544" s="52">
        <f t="shared" si="462"/>
        <v>1819700.8586099846</v>
      </c>
      <c r="P544" s="50" t="str">
        <f t="shared" si="463"/>
        <v>23.3035714285714</v>
      </c>
      <c r="Q544" s="18" t="str">
        <f t="shared" si="464"/>
        <v>1+6125.09876693586i</v>
      </c>
      <c r="R544" s="18">
        <f t="shared" si="475"/>
        <v>6125.098848567196</v>
      </c>
      <c r="S544" s="18">
        <f t="shared" si="476"/>
        <v>1.5706330641228703</v>
      </c>
      <c r="T544" s="18" t="str">
        <f t="shared" si="465"/>
        <v>1+11.4335176982803i</v>
      </c>
      <c r="U544" s="18">
        <f t="shared" si="477"/>
        <v>11.477165458286679</v>
      </c>
      <c r="V544" s="18">
        <f t="shared" si="478"/>
        <v>1.4835561798496422</v>
      </c>
      <c r="W544" s="32" t="str">
        <f t="shared" si="466"/>
        <v>1-27.9485988180185i</v>
      </c>
      <c r="X544" s="18">
        <f t="shared" si="479"/>
        <v>27.966483080475903</v>
      </c>
      <c r="Y544" s="18">
        <f t="shared" si="480"/>
        <v>-1.5350316146316796</v>
      </c>
      <c r="Z544" s="32" t="str">
        <f t="shared" si="467"/>
        <v>-12.2452448593036+13.7170770205693i</v>
      </c>
      <c r="AA544" s="18">
        <f t="shared" si="481"/>
        <v>18.387610602047555</v>
      </c>
      <c r="AB544" s="18">
        <f t="shared" si="482"/>
        <v>2.2995640224649958</v>
      </c>
      <c r="AC544" s="68" t="str">
        <f t="shared" si="483"/>
        <v>-0.0472105490030754+0.0467110415104636i</v>
      </c>
      <c r="AD544" s="66">
        <f t="shared" si="484"/>
        <v>-23.554868348681314</v>
      </c>
      <c r="AE544" s="63">
        <f t="shared" si="485"/>
        <v>135.30471589307643</v>
      </c>
      <c r="AF544" s="51" t="e">
        <f t="shared" si="486"/>
        <v>#NUM!</v>
      </c>
      <c r="AG544" s="51" t="str">
        <f t="shared" si="468"/>
        <v>1-8575.13827371024i</v>
      </c>
      <c r="AH544" s="51">
        <f t="shared" si="487"/>
        <v>8575.1383320183359</v>
      </c>
      <c r="AI544" s="51">
        <f t="shared" si="488"/>
        <v>-1.5706797106000847</v>
      </c>
      <c r="AJ544" s="51" t="str">
        <f t="shared" si="469"/>
        <v>1+11.4335176982803i</v>
      </c>
      <c r="AK544" s="51">
        <f t="shared" si="489"/>
        <v>11.477165458286679</v>
      </c>
      <c r="AL544" s="51">
        <f t="shared" si="490"/>
        <v>1.4835561798496422</v>
      </c>
      <c r="AM544" s="51" t="e">
        <f t="shared" si="470"/>
        <v>#NUM!</v>
      </c>
      <c r="AN544" s="51" t="e">
        <f t="shared" si="491"/>
        <v>#NUM!</v>
      </c>
      <c r="AO544" s="51" t="e">
        <f t="shared" si="492"/>
        <v>#NUM!</v>
      </c>
      <c r="AP544" s="60" t="e">
        <f t="shared" si="493"/>
        <v>#NUM!</v>
      </c>
      <c r="AQ544" s="51" t="e">
        <f t="shared" si="494"/>
        <v>#NUM!</v>
      </c>
      <c r="AR544" s="63" t="e">
        <f t="shared" si="495"/>
        <v>#NUM!</v>
      </c>
      <c r="AS544" s="32" t="str">
        <f t="shared" si="471"/>
        <v>-0.000170731707317073</v>
      </c>
      <c r="AT544" s="32" t="str">
        <f t="shared" si="472"/>
        <v>0.434473672534653i</v>
      </c>
      <c r="AU544" s="32">
        <f t="shared" si="496"/>
        <v>0.43447367253465302</v>
      </c>
      <c r="AV544" s="32">
        <f t="shared" si="497"/>
        <v>1.5707963267948966</v>
      </c>
      <c r="AW544" s="32" t="str">
        <f t="shared" si="473"/>
        <v>1+92.5031758199813i</v>
      </c>
      <c r="AX544" s="32">
        <f t="shared" si="498"/>
        <v>92.508580881896421</v>
      </c>
      <c r="AY544" s="32">
        <f t="shared" si="499"/>
        <v>1.5599863082342857</v>
      </c>
      <c r="AZ544" s="32" t="str">
        <f t="shared" si="474"/>
        <v>1+1757.56034057965i</v>
      </c>
      <c r="BA544" s="32">
        <f t="shared" si="500"/>
        <v>1757.5606250648812</v>
      </c>
      <c r="BB544" s="32">
        <f t="shared" si="501"/>
        <v>1.5702273563481914</v>
      </c>
      <c r="BC544" s="60" t="str">
        <f t="shared" si="502"/>
        <v>-0.0000764567492753865+0.00746545426817418i</v>
      </c>
      <c r="BD544" s="51">
        <f t="shared" si="503"/>
        <v>-42.538419719842565</v>
      </c>
      <c r="BE544" s="63">
        <f t="shared" si="504"/>
        <v>90.586768834717205</v>
      </c>
      <c r="BF544" s="60" t="str">
        <f t="shared" si="505"/>
        <v>-0.00034510957910687-0.000356019568947013i</v>
      </c>
      <c r="BG544" s="66">
        <f t="shared" si="506"/>
        <v>-66.09328806852389</v>
      </c>
      <c r="BH544" s="63">
        <f t="shared" si="507"/>
        <v>-134.10851527220635</v>
      </c>
      <c r="BI544" s="60" t="e">
        <f t="shared" si="460"/>
        <v>#NUM!</v>
      </c>
      <c r="BJ544" s="66" t="e">
        <f t="shared" si="508"/>
        <v>#NUM!</v>
      </c>
      <c r="BK544" s="63" t="e">
        <f t="shared" si="461"/>
        <v>#NUM!</v>
      </c>
      <c r="BL544" s="51">
        <f t="shared" si="509"/>
        <v>-66.09328806852389</v>
      </c>
      <c r="BM544" s="63">
        <f t="shared" si="510"/>
        <v>-134.10851527220635</v>
      </c>
    </row>
    <row r="545" spans="14:65" x14ac:dyDescent="0.3">
      <c r="N545" s="11">
        <v>27</v>
      </c>
      <c r="O545" s="52">
        <f t="shared" si="462"/>
        <v>1862087.1366628683</v>
      </c>
      <c r="P545" s="50" t="str">
        <f t="shared" si="463"/>
        <v>23.3035714285714</v>
      </c>
      <c r="Q545" s="18" t="str">
        <f t="shared" si="464"/>
        <v>1+6267.77064523295i</v>
      </c>
      <c r="R545" s="18">
        <f t="shared" si="475"/>
        <v>6267.7707250061303</v>
      </c>
      <c r="S545" s="18">
        <f t="shared" si="476"/>
        <v>1.5706367804349359</v>
      </c>
      <c r="T545" s="18" t="str">
        <f t="shared" si="465"/>
        <v>1+11.6998385377682i</v>
      </c>
      <c r="U545" s="18">
        <f t="shared" si="477"/>
        <v>11.742496404506408</v>
      </c>
      <c r="V545" s="18">
        <f t="shared" si="478"/>
        <v>1.4855322863887868</v>
      </c>
      <c r="W545" s="32" t="str">
        <f t="shared" si="466"/>
        <v>1-28.5996053145445i</v>
      </c>
      <c r="X545" s="18">
        <f t="shared" si="479"/>
        <v>28.61708273300621</v>
      </c>
      <c r="Y545" s="18">
        <f t="shared" si="480"/>
        <v>-1.5358450483226402</v>
      </c>
      <c r="Z545" s="32" t="str">
        <f t="shared" si="467"/>
        <v>-12.8694740181012+14.036588789724i</v>
      </c>
      <c r="AA545" s="18">
        <f t="shared" si="481"/>
        <v>19.04335018725401</v>
      </c>
      <c r="AB545" s="18">
        <f t="shared" si="482"/>
        <v>2.3128442760909524</v>
      </c>
      <c r="AC545" s="68" t="str">
        <f t="shared" si="483"/>
        <v>-0.046074658948236+0.0467058546563577i</v>
      </c>
      <c r="AD545" s="66">
        <f t="shared" si="484"/>
        <v>-23.660963513781962</v>
      </c>
      <c r="AE545" s="63">
        <f t="shared" si="485"/>
        <v>134.61021672760441</v>
      </c>
      <c r="AF545" s="51" t="e">
        <f t="shared" si="486"/>
        <v>#NUM!</v>
      </c>
      <c r="AG545" s="51" t="str">
        <f t="shared" si="468"/>
        <v>1-8774.87890332617i</v>
      </c>
      <c r="AH545" s="51">
        <f t="shared" si="487"/>
        <v>8774.8789603070127</v>
      </c>
      <c r="AI545" s="51">
        <f t="shared" si="488"/>
        <v>-1.5706823651087369</v>
      </c>
      <c r="AJ545" s="51" t="str">
        <f t="shared" si="469"/>
        <v>1+11.6998385377682i</v>
      </c>
      <c r="AK545" s="51">
        <f t="shared" si="489"/>
        <v>11.742496404506408</v>
      </c>
      <c r="AL545" s="51">
        <f t="shared" si="490"/>
        <v>1.4855322863887868</v>
      </c>
      <c r="AM545" s="51" t="e">
        <f t="shared" si="470"/>
        <v>#NUM!</v>
      </c>
      <c r="AN545" s="51" t="e">
        <f t="shared" si="491"/>
        <v>#NUM!</v>
      </c>
      <c r="AO545" s="51" t="e">
        <f t="shared" si="492"/>
        <v>#NUM!</v>
      </c>
      <c r="AP545" s="60" t="e">
        <f t="shared" si="493"/>
        <v>#NUM!</v>
      </c>
      <c r="AQ545" s="51" t="e">
        <f t="shared" si="494"/>
        <v>#NUM!</v>
      </c>
      <c r="AR545" s="63" t="e">
        <f t="shared" si="495"/>
        <v>#NUM!</v>
      </c>
      <c r="AS545" s="32" t="str">
        <f t="shared" si="471"/>
        <v>-0.000170731707317073</v>
      </c>
      <c r="AT545" s="32" t="str">
        <f t="shared" si="472"/>
        <v>0.444593864435193i</v>
      </c>
      <c r="AU545" s="32">
        <f t="shared" si="496"/>
        <v>0.444593864435193</v>
      </c>
      <c r="AV545" s="32">
        <f t="shared" si="497"/>
        <v>1.5707963267948966</v>
      </c>
      <c r="AW545" s="32" t="str">
        <f t="shared" si="473"/>
        <v>1+94.6578515803013i</v>
      </c>
      <c r="AX545" s="32">
        <f t="shared" si="498"/>
        <v>94.663133614931368</v>
      </c>
      <c r="AY545" s="32">
        <f t="shared" si="499"/>
        <v>1.5602323557785702</v>
      </c>
      <c r="AZ545" s="32" t="str">
        <f t="shared" si="474"/>
        <v>1+1798.49918002573i</v>
      </c>
      <c r="BA545" s="32">
        <f t="shared" si="500"/>
        <v>1798.4994580352875</v>
      </c>
      <c r="BB545" s="32">
        <f t="shared" si="501"/>
        <v>1.5702403076940521</v>
      </c>
      <c r="BC545" s="60" t="str">
        <f t="shared" si="502"/>
        <v>-0.0000730160127154052+0.0072955561313967i</v>
      </c>
      <c r="BD545" s="51">
        <f t="shared" si="503"/>
        <v>-42.738396942626721</v>
      </c>
      <c r="BE545" s="63">
        <f t="shared" si="504"/>
        <v>90.573413406326978</v>
      </c>
      <c r="BF545" s="60" t="str">
        <f t="shared" si="505"/>
        <v>-0.000337380996426691-0.000339550535869287i</v>
      </c>
      <c r="BG545" s="66">
        <f t="shared" si="506"/>
        <v>-66.399360456408687</v>
      </c>
      <c r="BH545" s="63">
        <f t="shared" si="507"/>
        <v>-134.81636986606864</v>
      </c>
      <c r="BI545" s="60" t="e">
        <f t="shared" si="460"/>
        <v>#NUM!</v>
      </c>
      <c r="BJ545" s="66" t="e">
        <f t="shared" si="508"/>
        <v>#NUM!</v>
      </c>
      <c r="BK545" s="63" t="e">
        <f t="shared" si="461"/>
        <v>#NUM!</v>
      </c>
      <c r="BL545" s="51">
        <f t="shared" si="509"/>
        <v>-66.399360456408687</v>
      </c>
      <c r="BM545" s="63">
        <f t="shared" si="510"/>
        <v>-134.81636986606864</v>
      </c>
    </row>
    <row r="546" spans="14:65" x14ac:dyDescent="0.3">
      <c r="N546" s="11">
        <v>28</v>
      </c>
      <c r="O546" s="52">
        <f t="shared" si="462"/>
        <v>1905460.7179632513</v>
      </c>
      <c r="P546" s="50" t="str">
        <f t="shared" si="463"/>
        <v>23.3035714285714</v>
      </c>
      <c r="Q546" s="18" t="str">
        <f t="shared" si="464"/>
        <v>1+6413.76577848995i</v>
      </c>
      <c r="R546" s="18">
        <f t="shared" si="475"/>
        <v>6413.7658564472713</v>
      </c>
      <c r="S546" s="18">
        <f t="shared" si="476"/>
        <v>1.5706404121534154</v>
      </c>
      <c r="T546" s="18" t="str">
        <f t="shared" si="465"/>
        <v>1+11.9723627865146i</v>
      </c>
      <c r="U546" s="18">
        <f t="shared" si="477"/>
        <v>12.014053050154208</v>
      </c>
      <c r="V546" s="18">
        <f t="shared" si="478"/>
        <v>1.4874640564900197</v>
      </c>
      <c r="W546" s="32" t="str">
        <f t="shared" si="466"/>
        <v>1-29.265775700369i</v>
      </c>
      <c r="X546" s="18">
        <f t="shared" si="479"/>
        <v>29.282855518960389</v>
      </c>
      <c r="Y546" s="18">
        <f t="shared" si="480"/>
        <v>-1.5366400107162801</v>
      </c>
      <c r="Z546" s="32" t="str">
        <f t="shared" si="467"/>
        <v>-13.5231221908043+14.3635429440512i</v>
      </c>
      <c r="AA546" s="18">
        <f t="shared" si="481"/>
        <v>19.727802708183866</v>
      </c>
      <c r="AB546" s="18">
        <f t="shared" si="482"/>
        <v>2.3260665974051538</v>
      </c>
      <c r="AC546" s="68" t="str">
        <f t="shared" si="483"/>
        <v>-0.0449424650211751+0.04667349309813i</v>
      </c>
      <c r="AD546" s="66">
        <f t="shared" si="484"/>
        <v>-23.769327253823718</v>
      </c>
      <c r="AE546" s="63">
        <f t="shared" si="485"/>
        <v>133.91755972255658</v>
      </c>
      <c r="AF546" s="51" t="e">
        <f t="shared" si="486"/>
        <v>#NUM!</v>
      </c>
      <c r="AG546" s="51" t="str">
        <f t="shared" si="468"/>
        <v>1-8979.27208988597i</v>
      </c>
      <c r="AH546" s="51">
        <f t="shared" si="487"/>
        <v>8979.2721455697701</v>
      </c>
      <c r="AI546" s="51">
        <f t="shared" si="488"/>
        <v>-1.5706849591933967</v>
      </c>
      <c r="AJ546" s="51" t="str">
        <f t="shared" si="469"/>
        <v>1+11.9723627865146i</v>
      </c>
      <c r="AK546" s="51">
        <f t="shared" si="489"/>
        <v>12.014053050154208</v>
      </c>
      <c r="AL546" s="51">
        <f t="shared" si="490"/>
        <v>1.4874640564900197</v>
      </c>
      <c r="AM546" s="51" t="e">
        <f t="shared" si="470"/>
        <v>#NUM!</v>
      </c>
      <c r="AN546" s="51" t="e">
        <f t="shared" si="491"/>
        <v>#NUM!</v>
      </c>
      <c r="AO546" s="51" t="e">
        <f t="shared" si="492"/>
        <v>#NUM!</v>
      </c>
      <c r="AP546" s="60" t="e">
        <f t="shared" si="493"/>
        <v>#NUM!</v>
      </c>
      <c r="AQ546" s="51" t="e">
        <f t="shared" si="494"/>
        <v>#NUM!</v>
      </c>
      <c r="AR546" s="63" t="e">
        <f t="shared" si="495"/>
        <v>#NUM!</v>
      </c>
      <c r="AS546" s="32" t="str">
        <f t="shared" si="471"/>
        <v>-0.000170731707317073</v>
      </c>
      <c r="AT546" s="32" t="str">
        <f t="shared" si="472"/>
        <v>0.454949785887554i</v>
      </c>
      <c r="AU546" s="32">
        <f t="shared" si="496"/>
        <v>0.45494978588755403</v>
      </c>
      <c r="AV546" s="32">
        <f t="shared" si="497"/>
        <v>1.5707963267948966</v>
      </c>
      <c r="AW546" s="32" t="str">
        <f t="shared" si="473"/>
        <v>1+96.8627161864748i</v>
      </c>
      <c r="AX546" s="32">
        <f t="shared" si="498"/>
        <v>96.867877993799198</v>
      </c>
      <c r="AY546" s="32">
        <f t="shared" si="499"/>
        <v>1.5604728038329718</v>
      </c>
      <c r="AZ546" s="32" t="str">
        <f t="shared" si="474"/>
        <v>1+1840.39160754303i</v>
      </c>
      <c r="BA546" s="32">
        <f t="shared" si="500"/>
        <v>1840.3918792243182</v>
      </c>
      <c r="BB546" s="32">
        <f t="shared" si="501"/>
        <v>1.5702529642314687</v>
      </c>
      <c r="BC546" s="60" t="str">
        <f t="shared" si="502"/>
        <v>-0.0000697301010253947+0.00712952292256316i</v>
      </c>
      <c r="BD546" s="51">
        <f t="shared" si="503"/>
        <v>-42.938375190442315</v>
      </c>
      <c r="BE546" s="63">
        <f t="shared" si="504"/>
        <v>90.56036191379485</v>
      </c>
      <c r="BF546" s="60" t="str">
        <f t="shared" si="505"/>
        <v>-0.000329625896292954-0.000323672881953902i</v>
      </c>
      <c r="BG546" s="66">
        <f t="shared" si="506"/>
        <v>-66.707702444266033</v>
      </c>
      <c r="BH546" s="63">
        <f t="shared" si="507"/>
        <v>-135.52207836364849</v>
      </c>
      <c r="BI546" s="60" t="e">
        <f t="shared" si="460"/>
        <v>#NUM!</v>
      </c>
      <c r="BJ546" s="66" t="e">
        <f t="shared" si="508"/>
        <v>#NUM!</v>
      </c>
      <c r="BK546" s="63" t="e">
        <f t="shared" si="461"/>
        <v>#NUM!</v>
      </c>
      <c r="BL546" s="51">
        <f t="shared" si="509"/>
        <v>-66.707702444266033</v>
      </c>
      <c r="BM546" s="63">
        <f t="shared" si="510"/>
        <v>-135.52207836364849</v>
      </c>
    </row>
    <row r="547" spans="14:65" x14ac:dyDescent="0.3">
      <c r="N547" s="11">
        <v>29</v>
      </c>
      <c r="O547" s="52">
        <f t="shared" si="462"/>
        <v>1949844.5997580495</v>
      </c>
      <c r="P547" s="50" t="str">
        <f t="shared" si="463"/>
        <v>23.3035714285714</v>
      </c>
      <c r="Q547" s="18" t="str">
        <f t="shared" si="464"/>
        <v>1+6563.16157525885i</v>
      </c>
      <c r="R547" s="18">
        <f t="shared" si="475"/>
        <v>6563.1616514416455</v>
      </c>
      <c r="S547" s="18">
        <f t="shared" si="476"/>
        <v>1.5706439612038938</v>
      </c>
      <c r="T547" s="18" t="str">
        <f t="shared" si="465"/>
        <v>1+12.2512349404832i</v>
      </c>
      <c r="U547" s="18">
        <f t="shared" si="477"/>
        <v>12.291979399873577</v>
      </c>
      <c r="V547" s="18">
        <f t="shared" si="478"/>
        <v>1.4893524567005179</v>
      </c>
      <c r="W547" s="32" t="str">
        <f t="shared" si="466"/>
        <v>1-29.9474631878478i</v>
      </c>
      <c r="X547" s="18">
        <f t="shared" si="479"/>
        <v>29.964154441390452</v>
      </c>
      <c r="Y547" s="18">
        <f t="shared" si="480"/>
        <v>-1.5374169192907772</v>
      </c>
      <c r="Z547" s="32" t="str">
        <f t="shared" si="467"/>
        <v>-14.2075758528224+14.6981128389712i</v>
      </c>
      <c r="AA547" s="18">
        <f t="shared" si="481"/>
        <v>20.442351445976858</v>
      </c>
      <c r="AB547" s="18">
        <f t="shared" si="482"/>
        <v>2.3392258612952421</v>
      </c>
      <c r="AC547" s="68" t="str">
        <f t="shared" si="483"/>
        <v>-0.0438151315589747+0.0466142228341381i</v>
      </c>
      <c r="AD547" s="66">
        <f t="shared" si="484"/>
        <v>-23.879952325508608</v>
      </c>
      <c r="AE547" s="63">
        <f t="shared" si="485"/>
        <v>133.22706987424888</v>
      </c>
      <c r="AF547" s="51" t="e">
        <f t="shared" si="486"/>
        <v>#NUM!</v>
      </c>
      <c r="AG547" s="51" t="str">
        <f t="shared" si="468"/>
        <v>1-9188.42620536242i</v>
      </c>
      <c r="AH547" s="51">
        <f t="shared" si="487"/>
        <v>9188.4262597787019</v>
      </c>
      <c r="AI547" s="51">
        <f t="shared" si="488"/>
        <v>-1.5706874942294822</v>
      </c>
      <c r="AJ547" s="51" t="str">
        <f t="shared" si="469"/>
        <v>1+12.2512349404832i</v>
      </c>
      <c r="AK547" s="51">
        <f t="shared" si="489"/>
        <v>12.291979399873577</v>
      </c>
      <c r="AL547" s="51">
        <f t="shared" si="490"/>
        <v>1.4893524567005179</v>
      </c>
      <c r="AM547" s="51" t="e">
        <f t="shared" si="470"/>
        <v>#NUM!</v>
      </c>
      <c r="AN547" s="51" t="e">
        <f t="shared" si="491"/>
        <v>#NUM!</v>
      </c>
      <c r="AO547" s="51" t="e">
        <f t="shared" si="492"/>
        <v>#NUM!</v>
      </c>
      <c r="AP547" s="60" t="e">
        <f t="shared" si="493"/>
        <v>#NUM!</v>
      </c>
      <c r="AQ547" s="51" t="e">
        <f t="shared" si="494"/>
        <v>#NUM!</v>
      </c>
      <c r="AR547" s="63" t="e">
        <f t="shared" si="495"/>
        <v>#NUM!</v>
      </c>
      <c r="AS547" s="32" t="str">
        <f t="shared" si="471"/>
        <v>-0.000170731707317073</v>
      </c>
      <c r="AT547" s="32" t="str">
        <f t="shared" si="472"/>
        <v>0.465546927738363i</v>
      </c>
      <c r="AU547" s="32">
        <f t="shared" si="496"/>
        <v>0.46554692773836298</v>
      </c>
      <c r="AV547" s="32">
        <f t="shared" si="497"/>
        <v>1.5707963267948966</v>
      </c>
      <c r="AW547" s="32" t="str">
        <f t="shared" si="473"/>
        <v>1+99.1189386868987i</v>
      </c>
      <c r="AX547" s="32">
        <f t="shared" si="498"/>
        <v>99.12398300319245</v>
      </c>
      <c r="AY547" s="32">
        <f t="shared" si="499"/>
        <v>1.5607077797749551</v>
      </c>
      <c r="AZ547" s="32" t="str">
        <f t="shared" si="474"/>
        <v>1+1883.25983505108i</v>
      </c>
      <c r="BA547" s="32">
        <f t="shared" si="500"/>
        <v>1883.2601005481483</v>
      </c>
      <c r="BB547" s="32">
        <f t="shared" si="501"/>
        <v>1.5702653326710889</v>
      </c>
      <c r="BC547" s="60" t="str">
        <f t="shared" si="502"/>
        <v>-0.0000665920489105693+0.00696726682704675i</v>
      </c>
      <c r="BD547" s="51">
        <f t="shared" si="503"/>
        <v>-43.138354417165246</v>
      </c>
      <c r="BE547" s="63">
        <f t="shared" si="504"/>
        <v>90.547607443421498</v>
      </c>
      <c r="BF547" s="60" t="str">
        <f t="shared" si="505"/>
        <v>-0.000321855989037057-0.000308375849240433i</v>
      </c>
      <c r="BG547" s="66">
        <f t="shared" si="506"/>
        <v>-67.018306742673857</v>
      </c>
      <c r="BH547" s="63">
        <f t="shared" si="507"/>
        <v>-136.22532268232956</v>
      </c>
      <c r="BI547" s="60" t="e">
        <f t="shared" si="460"/>
        <v>#NUM!</v>
      </c>
      <c r="BJ547" s="66" t="e">
        <f t="shared" si="508"/>
        <v>#NUM!</v>
      </c>
      <c r="BK547" s="63" t="e">
        <f t="shared" si="461"/>
        <v>#NUM!</v>
      </c>
      <c r="BL547" s="51">
        <f t="shared" si="509"/>
        <v>-67.018306742673857</v>
      </c>
      <c r="BM547" s="63">
        <f t="shared" si="510"/>
        <v>-136.22532268232956</v>
      </c>
    </row>
    <row r="548" spans="14:65" x14ac:dyDescent="0.3">
      <c r="N548" s="11">
        <v>30</v>
      </c>
      <c r="O548" s="52">
        <f t="shared" si="462"/>
        <v>1995262.31496888</v>
      </c>
      <c r="P548" s="50" t="str">
        <f t="shared" si="463"/>
        <v>23.3035714285714</v>
      </c>
      <c r="Q548" s="18" t="str">
        <f t="shared" si="464"/>
        <v>1+6716.0372471687i</v>
      </c>
      <c r="R548" s="18">
        <f t="shared" si="475"/>
        <v>6716.037321617363</v>
      </c>
      <c r="S548" s="18">
        <f t="shared" si="476"/>
        <v>1.5706474294681239</v>
      </c>
      <c r="T548" s="18" t="str">
        <f t="shared" si="465"/>
        <v>1+12.5366028613816i</v>
      </c>
      <c r="U548" s="18">
        <f t="shared" si="477"/>
        <v>12.576422834176707</v>
      </c>
      <c r="V548" s="18">
        <f t="shared" si="478"/>
        <v>1.491198434371964</v>
      </c>
      <c r="W548" s="32" t="str">
        <f t="shared" si="466"/>
        <v>1-30.6450292167106i</v>
      </c>
      <c r="X548" s="18">
        <f t="shared" si="479"/>
        <v>30.661340735412178</v>
      </c>
      <c r="Y548" s="18">
        <f t="shared" si="480"/>
        <v>-1.5381761822197431</v>
      </c>
      <c r="Z548" s="32" t="str">
        <f t="shared" si="467"/>
        <v>-14.9242868221399+15.040475867871i</v>
      </c>
      <c r="AA548" s="18">
        <f t="shared" si="481"/>
        <v>21.188446179026641</v>
      </c>
      <c r="AB548" s="18">
        <f t="shared" si="482"/>
        <v>2.3523169869853104</v>
      </c>
      <c r="AC548" s="68" t="str">
        <f t="shared" si="483"/>
        <v>-0.0426938037463463+0.0465283748461389i</v>
      </c>
      <c r="AD548" s="66">
        <f t="shared" si="484"/>
        <v>-23.992829078817579</v>
      </c>
      <c r="AE548" s="63">
        <f t="shared" si="485"/>
        <v>132.53906907450877</v>
      </c>
      <c r="AF548" s="51" t="e">
        <f t="shared" si="486"/>
        <v>#NUM!</v>
      </c>
      <c r="AG548" s="51" t="str">
        <f t="shared" si="468"/>
        <v>1-9402.45214603622i</v>
      </c>
      <c r="AH548" s="51">
        <f t="shared" si="487"/>
        <v>9402.4521992138361</v>
      </c>
      <c r="AI548" s="51">
        <f t="shared" si="488"/>
        <v>-1.5706899715611025</v>
      </c>
      <c r="AJ548" s="51" t="str">
        <f t="shared" si="469"/>
        <v>1+12.5366028613816i</v>
      </c>
      <c r="AK548" s="51">
        <f t="shared" si="489"/>
        <v>12.576422834176707</v>
      </c>
      <c r="AL548" s="51">
        <f t="shared" si="490"/>
        <v>1.491198434371964</v>
      </c>
      <c r="AM548" s="51" t="e">
        <f t="shared" si="470"/>
        <v>#NUM!</v>
      </c>
      <c r="AN548" s="51" t="e">
        <f t="shared" si="491"/>
        <v>#NUM!</v>
      </c>
      <c r="AO548" s="51" t="e">
        <f t="shared" si="492"/>
        <v>#NUM!</v>
      </c>
      <c r="AP548" s="60" t="e">
        <f t="shared" si="493"/>
        <v>#NUM!</v>
      </c>
      <c r="AQ548" s="51" t="e">
        <f t="shared" si="494"/>
        <v>#NUM!</v>
      </c>
      <c r="AR548" s="63" t="e">
        <f t="shared" si="495"/>
        <v>#NUM!</v>
      </c>
      <c r="AS548" s="32" t="str">
        <f t="shared" si="471"/>
        <v>-0.000170731707317073</v>
      </c>
      <c r="AT548" s="32" t="str">
        <f t="shared" si="472"/>
        <v>0.476390908732501i</v>
      </c>
      <c r="AU548" s="32">
        <f t="shared" si="496"/>
        <v>0.47639090873250101</v>
      </c>
      <c r="AV548" s="32">
        <f t="shared" si="497"/>
        <v>1.5707963267948966</v>
      </c>
      <c r="AW548" s="32" t="str">
        <f t="shared" si="473"/>
        <v>1+101.427715360609i</v>
      </c>
      <c r="AX548" s="32">
        <f t="shared" si="498"/>
        <v>101.43264485989073</v>
      </c>
      <c r="AY548" s="32">
        <f t="shared" si="499"/>
        <v>1.5609374080880243</v>
      </c>
      <c r="AZ548" s="32" t="str">
        <f t="shared" si="474"/>
        <v>1+1927.12659185158i</v>
      </c>
      <c r="BA548" s="32">
        <f t="shared" si="500"/>
        <v>1927.1268513051982</v>
      </c>
      <c r="BB548" s="32">
        <f t="shared" si="501"/>
        <v>1.570277419570808</v>
      </c>
      <c r="BC548" s="60" t="str">
        <f t="shared" si="502"/>
        <v>-0.0000635952043045822+0.00680870201832545i</v>
      </c>
      <c r="BD548" s="51">
        <f t="shared" si="503"/>
        <v>-43.338334578746327</v>
      </c>
      <c r="BE548" s="63">
        <f t="shared" si="504"/>
        <v>90.535143238567215</v>
      </c>
      <c r="BF548" s="60" t="str">
        <f t="shared" si="505"/>
        <v>-0.00031408271855252-0.000293648369242039i</v>
      </c>
      <c r="BG548" s="66">
        <f t="shared" si="506"/>
        <v>-67.331163657563906</v>
      </c>
      <c r="BH548" s="63">
        <f t="shared" si="507"/>
        <v>-136.92578768692397</v>
      </c>
      <c r="BI548" s="60" t="e">
        <f t="shared" si="460"/>
        <v>#NUM!</v>
      </c>
      <c r="BJ548" s="66" t="e">
        <f t="shared" si="508"/>
        <v>#NUM!</v>
      </c>
      <c r="BK548" s="63" t="e">
        <f t="shared" si="461"/>
        <v>#NUM!</v>
      </c>
      <c r="BL548" s="51">
        <f t="shared" si="509"/>
        <v>-67.331163657563906</v>
      </c>
      <c r="BM548" s="63">
        <f t="shared" si="510"/>
        <v>-136.92578768692397</v>
      </c>
    </row>
    <row r="549" spans="14:65" x14ac:dyDescent="0.3">
      <c r="N549" s="11">
        <v>31</v>
      </c>
      <c r="O549" s="52">
        <f t="shared" si="462"/>
        <v>2041737.9446695296</v>
      </c>
      <c r="P549" s="50" t="str">
        <f t="shared" si="463"/>
        <v>23.3035714285714</v>
      </c>
      <c r="Q549" s="18" t="str">
        <f t="shared" si="464"/>
        <v>1+6872.47385092424i</v>
      </c>
      <c r="R549" s="18">
        <f t="shared" si="475"/>
        <v>6872.4739236782443</v>
      </c>
      <c r="S549" s="18">
        <f t="shared" si="476"/>
        <v>1.570650818785025</v>
      </c>
      <c r="T549" s="18" t="str">
        <f t="shared" si="465"/>
        <v>1+12.8286178550586i</v>
      </c>
      <c r="U549" s="18">
        <f t="shared" si="477"/>
        <v>12.867534187680572</v>
      </c>
      <c r="V549" s="18">
        <f t="shared" si="478"/>
        <v>1.4930029179147768</v>
      </c>
      <c r="W549" s="32" t="str">
        <f t="shared" si="466"/>
        <v>1-31.3588436456988i</v>
      </c>
      <c r="X549" s="18">
        <f t="shared" si="479"/>
        <v>31.374784059741099</v>
      </c>
      <c r="Y549" s="18">
        <f t="shared" si="480"/>
        <v>-1.5389181985708307</v>
      </c>
      <c r="Z549" s="32" t="str">
        <f t="shared" si="467"/>
        <v>-15.6747753388133+15.3908135561602i</v>
      </c>
      <c r="AA549" s="18">
        <f t="shared" si="481"/>
        <v>21.967606238339989</v>
      </c>
      <c r="AB549" s="18">
        <f t="shared" si="482"/>
        <v>2.3653349534688073</v>
      </c>
      <c r="AC549" s="68" t="str">
        <f t="shared" si="483"/>
        <v>-0.0415796029424132+0.046416343224105i</v>
      </c>
      <c r="AD549" s="66">
        <f t="shared" si="484"/>
        <v>-24.107945503331848</v>
      </c>
      <c r="AE549" s="63">
        <f t="shared" si="485"/>
        <v>131.85387522956486</v>
      </c>
      <c r="AF549" s="51" t="e">
        <f t="shared" si="486"/>
        <v>#NUM!</v>
      </c>
      <c r="AG549" s="51" t="str">
        <f t="shared" si="468"/>
        <v>1-9621.46339129397i</v>
      </c>
      <c r="AH549" s="51">
        <f t="shared" si="487"/>
        <v>9621.4634432611165</v>
      </c>
      <c r="AI549" s="51">
        <f t="shared" si="488"/>
        <v>-1.570692392501772</v>
      </c>
      <c r="AJ549" s="51" t="str">
        <f t="shared" si="469"/>
        <v>1+12.8286178550586i</v>
      </c>
      <c r="AK549" s="51">
        <f t="shared" si="489"/>
        <v>12.867534187680572</v>
      </c>
      <c r="AL549" s="51">
        <f t="shared" si="490"/>
        <v>1.4930029179147768</v>
      </c>
      <c r="AM549" s="51" t="e">
        <f t="shared" si="470"/>
        <v>#NUM!</v>
      </c>
      <c r="AN549" s="51" t="e">
        <f t="shared" si="491"/>
        <v>#NUM!</v>
      </c>
      <c r="AO549" s="51" t="e">
        <f t="shared" si="492"/>
        <v>#NUM!</v>
      </c>
      <c r="AP549" s="60" t="e">
        <f t="shared" si="493"/>
        <v>#NUM!</v>
      </c>
      <c r="AQ549" s="51" t="e">
        <f t="shared" si="494"/>
        <v>#NUM!</v>
      </c>
      <c r="AR549" s="63" t="e">
        <f t="shared" si="495"/>
        <v>#NUM!</v>
      </c>
      <c r="AS549" s="32" t="str">
        <f t="shared" si="471"/>
        <v>-0.000170731707317073</v>
      </c>
      <c r="AT549" s="32" t="str">
        <f t="shared" si="472"/>
        <v>0.487487478492228i</v>
      </c>
      <c r="AU549" s="32">
        <f t="shared" si="496"/>
        <v>0.48748747849222801</v>
      </c>
      <c r="AV549" s="32">
        <f t="shared" si="497"/>
        <v>1.5707963267948966</v>
      </c>
      <c r="AW549" s="32" t="str">
        <f t="shared" si="473"/>
        <v>1+103.790270351558i</v>
      </c>
      <c r="AX549" s="32">
        <f t="shared" si="498"/>
        <v>103.79508764700523</v>
      </c>
      <c r="AY549" s="32">
        <f t="shared" si="499"/>
        <v>1.5611618104272298</v>
      </c>
      <c r="AZ549" s="32" t="str">
        <f t="shared" si="474"/>
        <v>1+1972.01513667961i</v>
      </c>
      <c r="BA549" s="32">
        <f t="shared" si="500"/>
        <v>1972.015390227343</v>
      </c>
      <c r="BB549" s="32">
        <f t="shared" si="501"/>
        <v>1.5702892313392458</v>
      </c>
      <c r="BC549" s="60" t="str">
        <f t="shared" si="502"/>
        <v>-0.0000607332142949261+0.00665374461344738i</v>
      </c>
      <c r="BD549" s="51">
        <f t="shared" si="503"/>
        <v>-43.538315633118302</v>
      </c>
      <c r="BE549" s="63">
        <f t="shared" si="504"/>
        <v>90.522962696097963</v>
      </c>
      <c r="BF549" s="60" t="str">
        <f t="shared" si="505"/>
        <v>-0.000306317230767514-0.000279479072827179i</v>
      </c>
      <c r="BG549" s="66">
        <f t="shared" si="506"/>
        <v>-67.64626113645015</v>
      </c>
      <c r="BH549" s="63">
        <f t="shared" si="507"/>
        <v>-137.62316207433716</v>
      </c>
      <c r="BI549" s="60" t="e">
        <f t="shared" si="460"/>
        <v>#NUM!</v>
      </c>
      <c r="BJ549" s="66" t="e">
        <f t="shared" si="508"/>
        <v>#NUM!</v>
      </c>
      <c r="BK549" s="63" t="e">
        <f t="shared" si="461"/>
        <v>#NUM!</v>
      </c>
      <c r="BL549" s="51">
        <f t="shared" si="509"/>
        <v>-67.64626113645015</v>
      </c>
      <c r="BM549" s="63">
        <f t="shared" si="510"/>
        <v>-137.62316207433716</v>
      </c>
    </row>
    <row r="550" spans="14:65" x14ac:dyDescent="0.3">
      <c r="N550" s="11">
        <v>32</v>
      </c>
      <c r="O550" s="52">
        <f t="shared" si="462"/>
        <v>2089296.1308540432</v>
      </c>
      <c r="P550" s="50" t="str">
        <f t="shared" si="463"/>
        <v>23.3035714285714</v>
      </c>
      <c r="Q550" s="18" t="str">
        <f t="shared" si="464"/>
        <v>1+7032.55433128354i</v>
      </c>
      <c r="R550" s="18">
        <f t="shared" si="475"/>
        <v>7032.5544023814609</v>
      </c>
      <c r="S550" s="18">
        <f t="shared" si="476"/>
        <v>1.5706541309516577</v>
      </c>
      <c r="T550" s="18" t="str">
        <f t="shared" si="465"/>
        <v>1+13.1274347517293i</v>
      </c>
      <c r="U550" s="18">
        <f t="shared" si="477"/>
        <v>13.165467829169994</v>
      </c>
      <c r="V550" s="18">
        <f t="shared" si="478"/>
        <v>1.4947668170582686</v>
      </c>
      <c r="W550" s="32" t="str">
        <f t="shared" si="466"/>
        <v>1-32.0892849486716i</v>
      </c>
      <c r="X550" s="18">
        <f t="shared" si="479"/>
        <v>32.104862692698774</v>
      </c>
      <c r="Y550" s="18">
        <f t="shared" si="480"/>
        <v>-1.5396433585006988</v>
      </c>
      <c r="Z550" s="32" t="str">
        <f t="shared" si="467"/>
        <v>-16.4606332896068+15.7493116575184i</v>
      </c>
      <c r="AA550" s="18">
        <f t="shared" si="481"/>
        <v>22.781423703986469</v>
      </c>
      <c r="AB550" s="18">
        <f t="shared" si="482"/>
        <v>2.3782748144548767</v>
      </c>
      <c r="AC550" s="68" t="str">
        <f t="shared" si="483"/>
        <v>-0.0404736222199592+0.046278582905853i</v>
      </c>
      <c r="AD550" s="66">
        <f t="shared" si="484"/>
        <v>-24.225287283719183</v>
      </c>
      <c r="AE550" s="63">
        <f t="shared" si="485"/>
        <v>131.17180140736332</v>
      </c>
      <c r="AF550" s="51" t="e">
        <f t="shared" si="486"/>
        <v>#NUM!</v>
      </c>
      <c r="AG550" s="51" t="str">
        <f t="shared" si="468"/>
        <v>1-9845.576063797i</v>
      </c>
      <c r="AH550" s="51">
        <f t="shared" si="487"/>
        <v>9845.5761145812285</v>
      </c>
      <c r="AI550" s="51">
        <f t="shared" si="488"/>
        <v>-1.570694758335105</v>
      </c>
      <c r="AJ550" s="51" t="str">
        <f t="shared" si="469"/>
        <v>1+13.1274347517293i</v>
      </c>
      <c r="AK550" s="51">
        <f t="shared" si="489"/>
        <v>13.165467829169994</v>
      </c>
      <c r="AL550" s="51">
        <f t="shared" si="490"/>
        <v>1.4947668170582686</v>
      </c>
      <c r="AM550" s="51" t="e">
        <f t="shared" si="470"/>
        <v>#NUM!</v>
      </c>
      <c r="AN550" s="51" t="e">
        <f t="shared" si="491"/>
        <v>#NUM!</v>
      </c>
      <c r="AO550" s="51" t="e">
        <f t="shared" si="492"/>
        <v>#NUM!</v>
      </c>
      <c r="AP550" s="60" t="e">
        <f t="shared" si="493"/>
        <v>#NUM!</v>
      </c>
      <c r="AQ550" s="51" t="e">
        <f t="shared" si="494"/>
        <v>#NUM!</v>
      </c>
      <c r="AR550" s="63" t="e">
        <f t="shared" si="495"/>
        <v>#NUM!</v>
      </c>
      <c r="AS550" s="32" t="str">
        <f t="shared" si="471"/>
        <v>-0.000170731707317073</v>
      </c>
      <c r="AT550" s="32" t="str">
        <f t="shared" si="472"/>
        <v>0.498842520565713i</v>
      </c>
      <c r="AU550" s="32">
        <f t="shared" si="496"/>
        <v>0.49884252056571299</v>
      </c>
      <c r="AV550" s="32">
        <f t="shared" si="497"/>
        <v>1.5707963267948966</v>
      </c>
      <c r="AW550" s="32" t="str">
        <f t="shared" si="473"/>
        <v>1+106.207856317675i</v>
      </c>
      <c r="AX550" s="32">
        <f t="shared" si="498"/>
        <v>106.2125639630072</v>
      </c>
      <c r="AY550" s="32">
        <f t="shared" si="499"/>
        <v>1.5613811056832099</v>
      </c>
      <c r="AZ550" s="32" t="str">
        <f t="shared" si="474"/>
        <v>1+2017.94927003583i</v>
      </c>
      <c r="BA550" s="32">
        <f t="shared" si="500"/>
        <v>2017.9495178121131</v>
      </c>
      <c r="BB550" s="32">
        <f t="shared" si="501"/>
        <v>1.5703007742391455</v>
      </c>
      <c r="BC550" s="60" t="str">
        <f t="shared" si="502"/>
        <v>-0.0000580000116797653+0.00650231262946238i</v>
      </c>
      <c r="BD550" s="51">
        <f t="shared" si="503"/>
        <v>-43.738297540106458</v>
      </c>
      <c r="BE550" s="63">
        <f t="shared" si="504"/>
        <v>90.511059362910657</v>
      </c>
      <c r="BF550" s="60" t="str">
        <f t="shared" si="505"/>
        <v>-0.00029857034354087-0.000265856303269992i</v>
      </c>
      <c r="BG550" s="66">
        <f t="shared" si="506"/>
        <v>-67.963584823825641</v>
      </c>
      <c r="BH550" s="63">
        <f t="shared" si="507"/>
        <v>-138.31713922972611</v>
      </c>
      <c r="BI550" s="60" t="e">
        <f t="shared" si="460"/>
        <v>#NUM!</v>
      </c>
      <c r="BJ550" s="66" t="e">
        <f t="shared" si="508"/>
        <v>#NUM!</v>
      </c>
      <c r="BK550" s="63" t="e">
        <f t="shared" si="461"/>
        <v>#NUM!</v>
      </c>
      <c r="BL550" s="51">
        <f t="shared" si="509"/>
        <v>-67.963584823825641</v>
      </c>
      <c r="BM550" s="63">
        <f t="shared" si="510"/>
        <v>-138.31713922972611</v>
      </c>
    </row>
    <row r="551" spans="14:65" x14ac:dyDescent="0.3">
      <c r="N551" s="11">
        <v>33</v>
      </c>
      <c r="O551" s="52">
        <f t="shared" si="462"/>
        <v>2137962.0895022359</v>
      </c>
      <c r="P551" s="50" t="str">
        <f t="shared" si="463"/>
        <v>23.3035714285714</v>
      </c>
      <c r="Q551" s="18" t="str">
        <f t="shared" si="464"/>
        <v>1+7196.36356503609i</v>
      </c>
      <c r="R551" s="18">
        <f t="shared" si="475"/>
        <v>7196.3636345156265</v>
      </c>
      <c r="S551" s="18">
        <f t="shared" si="476"/>
        <v>1.5706573677241762</v>
      </c>
      <c r="T551" s="18" t="str">
        <f t="shared" si="465"/>
        <v>1+13.4332119880674i</v>
      </c>
      <c r="U551" s="18">
        <f t="shared" si="477"/>
        <v>13.470381743527453</v>
      </c>
      <c r="V551" s="18">
        <f t="shared" si="478"/>
        <v>1.4964910231158497</v>
      </c>
      <c r="W551" s="32" t="str">
        <f t="shared" si="466"/>
        <v>1-32.8367404152759i</v>
      </c>
      <c r="X551" s="18">
        <f t="shared" si="479"/>
        <v>32.851963732784888</v>
      </c>
      <c r="Y551" s="18">
        <f t="shared" si="480"/>
        <v>-1.5403520434463527</v>
      </c>
      <c r="Z551" s="32" t="str">
        <f t="shared" si="467"/>
        <v>-17.2835275845951+16.1161602523842i</v>
      </c>
      <c r="AA551" s="18">
        <f t="shared" si="481"/>
        <v>23.631566749752078</v>
      </c>
      <c r="AB551" s="18">
        <f t="shared" si="482"/>
        <v>2.3911317127404281</v>
      </c>
      <c r="AC551" s="68" t="str">
        <f t="shared" si="483"/>
        <v>-0.0393769221531519+0.0461156070579722i</v>
      </c>
      <c r="AD551" s="66">
        <f t="shared" si="484"/>
        <v>-24.344837863918034</v>
      </c>
      <c r="AE551" s="63">
        <f t="shared" si="485"/>
        <v>130.49315501828755</v>
      </c>
      <c r="AF551" s="51" t="e">
        <f t="shared" si="486"/>
        <v>#NUM!</v>
      </c>
      <c r="AG551" s="51" t="str">
        <f t="shared" si="468"/>
        <v>1-10074.9089910506i</v>
      </c>
      <c r="AH551" s="51">
        <f t="shared" si="487"/>
        <v>10074.90904067884</v>
      </c>
      <c r="AI551" s="51">
        <f t="shared" si="488"/>
        <v>-1.5706970703154977</v>
      </c>
      <c r="AJ551" s="51" t="str">
        <f t="shared" si="469"/>
        <v>1+13.4332119880674i</v>
      </c>
      <c r="AK551" s="51">
        <f t="shared" si="489"/>
        <v>13.470381743527453</v>
      </c>
      <c r="AL551" s="51">
        <f t="shared" si="490"/>
        <v>1.4964910231158497</v>
      </c>
      <c r="AM551" s="51" t="e">
        <f t="shared" si="470"/>
        <v>#NUM!</v>
      </c>
      <c r="AN551" s="51" t="e">
        <f t="shared" si="491"/>
        <v>#NUM!</v>
      </c>
      <c r="AO551" s="51" t="e">
        <f t="shared" si="492"/>
        <v>#NUM!</v>
      </c>
      <c r="AP551" s="60" t="e">
        <f t="shared" si="493"/>
        <v>#NUM!</v>
      </c>
      <c r="AQ551" s="51" t="e">
        <f t="shared" si="494"/>
        <v>#NUM!</v>
      </c>
      <c r="AR551" s="63" t="e">
        <f t="shared" si="495"/>
        <v>#NUM!</v>
      </c>
      <c r="AS551" s="32" t="str">
        <f t="shared" si="471"/>
        <v>-0.000170731707317073</v>
      </c>
      <c r="AT551" s="32" t="str">
        <f t="shared" si="472"/>
        <v>0.510462055546562i</v>
      </c>
      <c r="AU551" s="32">
        <f t="shared" si="496"/>
        <v>0.51046205554656199</v>
      </c>
      <c r="AV551" s="32">
        <f t="shared" si="497"/>
        <v>1.5707963267948966</v>
      </c>
      <c r="AW551" s="32" t="str">
        <f t="shared" si="473"/>
        <v>1+108.681755095038i</v>
      </c>
      <c r="AX551" s="32">
        <f t="shared" si="498"/>
        <v>108.68635558586836</v>
      </c>
      <c r="AY551" s="32">
        <f t="shared" si="499"/>
        <v>1.5615954100447949</v>
      </c>
      <c r="AZ551" s="32" t="str">
        <f t="shared" si="474"/>
        <v>1+2064.95334680572i</v>
      </c>
      <c r="BA551" s="32">
        <f t="shared" si="500"/>
        <v>2064.9535889419267</v>
      </c>
      <c r="BB551" s="32">
        <f t="shared" si="501"/>
        <v>1.5703120543906925</v>
      </c>
      <c r="BC551" s="60" t="str">
        <f t="shared" si="502"/>
        <v>-0.0000553898021279726+0.0063543259408002i</v>
      </c>
      <c r="BD551" s="51">
        <f t="shared" si="503"/>
        <v>-43.938280261343515</v>
      </c>
      <c r="BE551" s="63">
        <f t="shared" si="504"/>
        <v>90.499426932536508</v>
      </c>
      <c r="BF551" s="60" t="str">
        <f t="shared" si="505"/>
        <v>-0.00029085251827775-0.000252768132256596i</v>
      </c>
      <c r="BG551" s="66">
        <f t="shared" si="506"/>
        <v>-68.283118125261538</v>
      </c>
      <c r="BH551" s="63">
        <f t="shared" si="507"/>
        <v>-139.00741804917587</v>
      </c>
      <c r="BI551" s="60" t="e">
        <f t="shared" si="460"/>
        <v>#NUM!</v>
      </c>
      <c r="BJ551" s="66" t="e">
        <f t="shared" si="508"/>
        <v>#NUM!</v>
      </c>
      <c r="BK551" s="63" t="e">
        <f t="shared" si="461"/>
        <v>#NUM!</v>
      </c>
      <c r="BL551" s="51">
        <f t="shared" si="509"/>
        <v>-68.283118125261538</v>
      </c>
      <c r="BM551" s="63">
        <f t="shared" si="510"/>
        <v>-139.00741804917587</v>
      </c>
    </row>
    <row r="552" spans="14:65" x14ac:dyDescent="0.3">
      <c r="N552" s="11">
        <v>34</v>
      </c>
      <c r="O552" s="52">
        <f t="shared" si="462"/>
        <v>2187761.6239495561</v>
      </c>
      <c r="P552" s="50" t="str">
        <f t="shared" si="463"/>
        <v>23.3035714285714</v>
      </c>
      <c r="Q552" s="18" t="str">
        <f t="shared" si="464"/>
        <v>1+7363.98840600599i</v>
      </c>
      <c r="R552" s="18">
        <f t="shared" si="475"/>
        <v>7363.988473903979</v>
      </c>
      <c r="S552" s="18">
        <f t="shared" si="476"/>
        <v>1.5706605308187598</v>
      </c>
      <c r="T552" s="18" t="str">
        <f t="shared" si="465"/>
        <v>1+13.7461116912112i</v>
      </c>
      <c r="U552" s="18">
        <f t="shared" si="477"/>
        <v>13.782437615576324</v>
      </c>
      <c r="V552" s="18">
        <f t="shared" si="478"/>
        <v>1.4981764092544951</v>
      </c>
      <c r="W552" s="32" t="str">
        <f t="shared" si="466"/>
        <v>1-33.601606356294i</v>
      </c>
      <c r="X552" s="18">
        <f t="shared" si="479"/>
        <v>33.616483303929002</v>
      </c>
      <c r="Y552" s="18">
        <f t="shared" si="480"/>
        <v>-1.5410446263128954</v>
      </c>
      <c r="Z552" s="32" t="str">
        <f t="shared" si="467"/>
        <v>-18.1452036929056+16.4915538487384i</v>
      </c>
      <c r="AA552" s="18">
        <f t="shared" si="481"/>
        <v>24.519783143471585</v>
      </c>
      <c r="AB552" s="18">
        <f t="shared" si="482"/>
        <v>2.4039008939275881</v>
      </c>
      <c r="AC552" s="68" t="str">
        <f t="shared" si="483"/>
        <v>-0.0382905268860481+0.045927984128238i</v>
      </c>
      <c r="AD552" s="66">
        <f t="shared" si="484"/>
        <v>-24.466578519488632</v>
      </c>
      <c r="AE552" s="63">
        <f t="shared" si="485"/>
        <v>129.81823703383387</v>
      </c>
      <c r="AF552" s="51" t="e">
        <f t="shared" si="486"/>
        <v>#NUM!</v>
      </c>
      <c r="AG552" s="51" t="str">
        <f t="shared" si="468"/>
        <v>1-10309.5837684084i</v>
      </c>
      <c r="AH552" s="51">
        <f t="shared" si="487"/>
        <v>10309.583816906963</v>
      </c>
      <c r="AI552" s="51">
        <f t="shared" si="488"/>
        <v>-1.5706993296687926</v>
      </c>
      <c r="AJ552" s="51" t="str">
        <f t="shared" si="469"/>
        <v>1+13.7461116912112i</v>
      </c>
      <c r="AK552" s="51">
        <f t="shared" si="489"/>
        <v>13.782437615576324</v>
      </c>
      <c r="AL552" s="51">
        <f t="shared" si="490"/>
        <v>1.4981764092544951</v>
      </c>
      <c r="AM552" s="51" t="e">
        <f t="shared" si="470"/>
        <v>#NUM!</v>
      </c>
      <c r="AN552" s="51" t="e">
        <f t="shared" si="491"/>
        <v>#NUM!</v>
      </c>
      <c r="AO552" s="51" t="e">
        <f t="shared" si="492"/>
        <v>#NUM!</v>
      </c>
      <c r="AP552" s="60" t="e">
        <f t="shared" si="493"/>
        <v>#NUM!</v>
      </c>
      <c r="AQ552" s="51" t="e">
        <f t="shared" si="494"/>
        <v>#NUM!</v>
      </c>
      <c r="AR552" s="63" t="e">
        <f t="shared" si="495"/>
        <v>#NUM!</v>
      </c>
      <c r="AS552" s="32" t="str">
        <f t="shared" si="471"/>
        <v>-0.000170731707317073</v>
      </c>
      <c r="AT552" s="32" t="str">
        <f t="shared" si="472"/>
        <v>0.522352244266026i</v>
      </c>
      <c r="AU552" s="32">
        <f t="shared" si="496"/>
        <v>0.522352244266026</v>
      </c>
      <c r="AV552" s="32">
        <f t="shared" si="497"/>
        <v>1.5707963267948966</v>
      </c>
      <c r="AW552" s="32" t="str">
        <f t="shared" si="473"/>
        <v>1+111.213278377525i</v>
      </c>
      <c r="AX552" s="32">
        <f t="shared" si="498"/>
        <v>111.21777415268151</v>
      </c>
      <c r="AY552" s="32">
        <f t="shared" si="499"/>
        <v>1.5618048370602116</v>
      </c>
      <c r="AZ552" s="32" t="str">
        <f t="shared" si="474"/>
        <v>1+2113.05228917299i</v>
      </c>
      <c r="BA552" s="32">
        <f t="shared" si="500"/>
        <v>2113.052525797505</v>
      </c>
      <c r="BB552" s="32">
        <f t="shared" si="501"/>
        <v>1.5703230777747617</v>
      </c>
      <c r="BC552" s="60" t="str">
        <f t="shared" si="502"/>
        <v>-0.0000528970519153677+0.00620970623757703i</v>
      </c>
      <c r="BD552" s="51">
        <f t="shared" si="503"/>
        <v>-44.138263760188408</v>
      </c>
      <c r="BE552" s="63">
        <f t="shared" si="504"/>
        <v>90.488059241820224</v>
      </c>
      <c r="BF552" s="60" t="str">
        <f t="shared" si="505"/>
        <v>-0.0002831738335319-0.000240202378605203i</v>
      </c>
      <c r="BG552" s="66">
        <f t="shared" si="506"/>
        <v>-68.604842279677044</v>
      </c>
      <c r="BH552" s="63">
        <f t="shared" si="507"/>
        <v>-139.69370372434591</v>
      </c>
      <c r="BI552" s="60" t="e">
        <f t="shared" si="460"/>
        <v>#NUM!</v>
      </c>
      <c r="BJ552" s="66" t="e">
        <f t="shared" si="508"/>
        <v>#NUM!</v>
      </c>
      <c r="BK552" s="63" t="e">
        <f t="shared" si="461"/>
        <v>#NUM!</v>
      </c>
      <c r="BL552" s="51">
        <f t="shared" si="509"/>
        <v>-68.604842279677044</v>
      </c>
      <c r="BM552" s="63">
        <f t="shared" si="510"/>
        <v>-139.69370372434591</v>
      </c>
    </row>
    <row r="553" spans="14:65" x14ac:dyDescent="0.3">
      <c r="N553" s="11">
        <v>35</v>
      </c>
      <c r="O553" s="52">
        <f t="shared" si="462"/>
        <v>2238721.1385683389</v>
      </c>
      <c r="P553" s="50" t="str">
        <f t="shared" si="463"/>
        <v>23.3035714285714</v>
      </c>
      <c r="Q553" s="18" t="str">
        <f t="shared" si="464"/>
        <v>1+7535.51773110261i</v>
      </c>
      <c r="R553" s="18">
        <f t="shared" si="475"/>
        <v>7535.5177974550506</v>
      </c>
      <c r="S553" s="18">
        <f t="shared" si="476"/>
        <v>1.570663621912523</v>
      </c>
      <c r="T553" s="18" t="str">
        <f t="shared" si="465"/>
        <v>1+14.0662997647249i</v>
      </c>
      <c r="U553" s="18">
        <f t="shared" si="477"/>
        <v>14.101800915879496</v>
      </c>
      <c r="V553" s="18">
        <f t="shared" si="478"/>
        <v>1.4998238307677143</v>
      </c>
      <c r="W553" s="32" t="str">
        <f t="shared" si="466"/>
        <v>1-34.384288313772i</v>
      </c>
      <c r="X553" s="18">
        <f t="shared" si="479"/>
        <v>34.398826765524973</v>
      </c>
      <c r="Y553" s="18">
        <f t="shared" si="480"/>
        <v>-1.5417214716577141</v>
      </c>
      <c r="Z553" s="32" t="str">
        <f t="shared" si="467"/>
        <v>-19.0474893450908+16.8756914852346i</v>
      </c>
      <c r="AA553" s="18">
        <f t="shared" si="481"/>
        <v>25.447903910856137</v>
      </c>
      <c r="AB553" s="18">
        <f t="shared" si="482"/>
        <v>2.4165777194130311</v>
      </c>
      <c r="AC553" s="68" t="str">
        <f t="shared" si="483"/>
        <v>-0.0372154205102101+0.0457163346028332i</v>
      </c>
      <c r="AD553" s="66">
        <f t="shared" si="484"/>
        <v>-24.590488437532784</v>
      </c>
      <c r="AE553" s="63">
        <f t="shared" si="485"/>
        <v>129.14734124741264</v>
      </c>
      <c r="AF553" s="51" t="e">
        <f t="shared" si="486"/>
        <v>#NUM!</v>
      </c>
      <c r="AG553" s="51" t="str">
        <f t="shared" si="468"/>
        <v>1-10549.7248235437i</v>
      </c>
      <c r="AH553" s="51">
        <f t="shared" si="487"/>
        <v>10549.7248709383</v>
      </c>
      <c r="AI553" s="51">
        <f t="shared" si="488"/>
        <v>-1.5707015375929287</v>
      </c>
      <c r="AJ553" s="51" t="str">
        <f t="shared" si="469"/>
        <v>1+14.0662997647249i</v>
      </c>
      <c r="AK553" s="51">
        <f t="shared" si="489"/>
        <v>14.101800915879496</v>
      </c>
      <c r="AL553" s="51">
        <f t="shared" si="490"/>
        <v>1.4998238307677143</v>
      </c>
      <c r="AM553" s="51" t="e">
        <f t="shared" si="470"/>
        <v>#NUM!</v>
      </c>
      <c r="AN553" s="51" t="e">
        <f t="shared" si="491"/>
        <v>#NUM!</v>
      </c>
      <c r="AO553" s="51" t="e">
        <f t="shared" si="492"/>
        <v>#NUM!</v>
      </c>
      <c r="AP553" s="60" t="e">
        <f t="shared" si="493"/>
        <v>#NUM!</v>
      </c>
      <c r="AQ553" s="51" t="e">
        <f>20*LOG(IMABS(AP553))</f>
        <v>#NUM!</v>
      </c>
      <c r="AR553" s="63" t="e">
        <f t="shared" si="495"/>
        <v>#NUM!</v>
      </c>
      <c r="AS553" s="32" t="str">
        <f t="shared" si="471"/>
        <v>-0.000170731707317073</v>
      </c>
      <c r="AT553" s="32" t="str">
        <f t="shared" si="472"/>
        <v>0.534519391059548i</v>
      </c>
      <c r="AU553" s="32">
        <f t="shared" si="496"/>
        <v>0.53451939105954804</v>
      </c>
      <c r="AV553" s="32">
        <f t="shared" si="497"/>
        <v>1.5707963267948966</v>
      </c>
      <c r="AW553" s="32" t="str">
        <f t="shared" si="473"/>
        <v>1+113.80376841229i</v>
      </c>
      <c r="AX553" s="32">
        <f t="shared" si="498"/>
        <v>113.80816185510658</v>
      </c>
      <c r="AY553" s="32">
        <f t="shared" si="499"/>
        <v>1.5620094976969099</v>
      </c>
      <c r="AZ553" s="32" t="str">
        <f t="shared" si="474"/>
        <v>1+2162.27159983351i</v>
      </c>
      <c r="BA553" s="32">
        <f t="shared" si="500"/>
        <v>2162.2718310717937</v>
      </c>
      <c r="BB553" s="32">
        <f t="shared" si="501"/>
        <v>1.570333850236086</v>
      </c>
      <c r="BC553" s="60" t="str">
        <f t="shared" si="502"/>
        <v>-0.0000505164762113872+0.00606837698481194i</v>
      </c>
      <c r="BD553" s="51">
        <f t="shared" si="503"/>
        <v>-44.33824800164885</v>
      </c>
      <c r="BE553" s="63">
        <f t="shared" si="504"/>
        <v>90.4769502676738</v>
      </c>
      <c r="BF553" s="60" t="str">
        <f t="shared" si="505"/>
        <v>-0.000275543960828894-0.000228146629433693i</v>
      </c>
      <c r="BG553" s="66">
        <f t="shared" si="506"/>
        <v>-68.928736439181634</v>
      </c>
      <c r="BH553" s="63">
        <f t="shared" si="507"/>
        <v>-140.37570848491356</v>
      </c>
      <c r="BI553" s="60" t="e">
        <f t="shared" si="460"/>
        <v>#NUM!</v>
      </c>
      <c r="BJ553" s="66" t="e">
        <f t="shared" si="508"/>
        <v>#NUM!</v>
      </c>
      <c r="BK553" s="63" t="e">
        <f t="shared" si="461"/>
        <v>#NUM!</v>
      </c>
      <c r="BL553" s="51">
        <f t="shared" si="509"/>
        <v>-68.928736439181634</v>
      </c>
      <c r="BM553" s="63">
        <f t="shared" si="510"/>
        <v>-140.37570848491356</v>
      </c>
    </row>
    <row r="554" spans="14:65" x14ac:dyDescent="0.3">
      <c r="N554" s="11">
        <v>36</v>
      </c>
      <c r="O554" s="52">
        <f t="shared" si="462"/>
        <v>2290867.6527677765</v>
      </c>
      <c r="P554" s="50" t="str">
        <f t="shared" si="463"/>
        <v>23.3035714285714</v>
      </c>
      <c r="Q554" s="18" t="str">
        <f t="shared" si="464"/>
        <v>1+7711.04248744472i</v>
      </c>
      <c r="R554" s="18">
        <f t="shared" si="475"/>
        <v>7711.0425522867954</v>
      </c>
      <c r="S554" s="18">
        <f t="shared" si="476"/>
        <v>1.5706666426444043</v>
      </c>
      <c r="T554" s="18" t="str">
        <f t="shared" si="465"/>
        <v>1+14.3939459765635i</v>
      </c>
      <c r="U554" s="18">
        <f t="shared" si="477"/>
        <v>14.428640988541803</v>
      </c>
      <c r="V554" s="18">
        <f t="shared" si="478"/>
        <v>1.5014341253513523</v>
      </c>
      <c r="W554" s="32" t="str">
        <f t="shared" si="466"/>
        <v>1-35.1852012760441i</v>
      </c>
      <c r="X554" s="18">
        <f t="shared" si="479"/>
        <v>35.199408927363187</v>
      </c>
      <c r="Y554" s="18">
        <f t="shared" si="480"/>
        <v>-1.5423829358711414</v>
      </c>
      <c r="Z554" s="32" t="str">
        <f t="shared" si="467"/>
        <v>-19.9922984099911+17.2687768367326i</v>
      </c>
      <c r="AA554" s="18">
        <f t="shared" si="481"/>
        <v>26.417847171013104</v>
      </c>
      <c r="AB554" s="18">
        <f t="shared" si="482"/>
        <v>2.4291576785843025</v>
      </c>
      <c r="AC554" s="68" t="str">
        <f t="shared" si="483"/>
        <v>-0.036152543775364+0.0454813275042608i</v>
      </c>
      <c r="AD554" s="66">
        <f t="shared" si="484"/>
        <v>-24.716544803535648</v>
      </c>
      <c r="AE554" s="63">
        <f t="shared" si="485"/>
        <v>128.48075358095093</v>
      </c>
      <c r="AF554" s="51" t="e">
        <f t="shared" si="486"/>
        <v>#NUM!</v>
      </c>
      <c r="AG554" s="51" t="str">
        <f t="shared" si="468"/>
        <v>1-10795.4594824227i</v>
      </c>
      <c r="AH554" s="51">
        <f t="shared" si="487"/>
        <v>10795.459528738469</v>
      </c>
      <c r="AI554" s="51">
        <f t="shared" si="488"/>
        <v>-1.5707036952585764</v>
      </c>
      <c r="AJ554" s="51" t="str">
        <f t="shared" si="469"/>
        <v>1+14.3939459765635i</v>
      </c>
      <c r="AK554" s="51">
        <f t="shared" si="489"/>
        <v>14.428640988541803</v>
      </c>
      <c r="AL554" s="51">
        <f t="shared" si="490"/>
        <v>1.5014341253513523</v>
      </c>
      <c r="AM554" s="51" t="e">
        <f t="shared" si="470"/>
        <v>#NUM!</v>
      </c>
      <c r="AN554" s="51" t="e">
        <f t="shared" si="491"/>
        <v>#NUM!</v>
      </c>
      <c r="AO554" s="51" t="e">
        <f t="shared" si="492"/>
        <v>#NUM!</v>
      </c>
      <c r="AP554" s="60" t="e">
        <f t="shared" si="493"/>
        <v>#NUM!</v>
      </c>
      <c r="AQ554" s="51" t="e">
        <f t="shared" si="494"/>
        <v>#NUM!</v>
      </c>
      <c r="AR554" s="63" t="e">
        <f t="shared" si="495"/>
        <v>#NUM!</v>
      </c>
      <c r="AS554" s="32" t="str">
        <f t="shared" si="471"/>
        <v>-0.000170731707317073</v>
      </c>
      <c r="AT554" s="32" t="str">
        <f t="shared" si="472"/>
        <v>0.546969947109412i</v>
      </c>
      <c r="AU554" s="32">
        <f t="shared" si="496"/>
        <v>0.54696994710941205</v>
      </c>
      <c r="AV554" s="32">
        <f t="shared" si="497"/>
        <v>1.5707963267948966</v>
      </c>
      <c r="AW554" s="32" t="str">
        <f t="shared" si="473"/>
        <v>1+116.454598711439i</v>
      </c>
      <c r="AX554" s="32">
        <f t="shared" si="498"/>
        <v>116.45889215101735</v>
      </c>
      <c r="AY554" s="32">
        <f t="shared" si="499"/>
        <v>1.5622095004000498</v>
      </c>
      <c r="AZ554" s="32" t="str">
        <f t="shared" si="474"/>
        <v>1+2212.63737551734i</v>
      </c>
      <c r="BA554" s="32">
        <f t="shared" si="500"/>
        <v>2212.6376014919979</v>
      </c>
      <c r="BB554" s="32">
        <f t="shared" si="501"/>
        <v>1.570344377486357</v>
      </c>
      <c r="BC554" s="60" t="str">
        <f t="shared" si="502"/>
        <v>-0.0000482430278915437+0.00593026338253566i</v>
      </c>
      <c r="BD554" s="51">
        <f t="shared" si="503"/>
        <v>-44.538232952306736</v>
      </c>
      <c r="BE554" s="63">
        <f t="shared" si="504"/>
        <v>90.46609412390309</v>
      </c>
      <c r="BF554" s="60" t="str">
        <f t="shared" si="505"/>
        <v>-0.000267972142909925-0.000216588263487891i</v>
      </c>
      <c r="BG554" s="66">
        <f t="shared" si="506"/>
        <v>-69.254777755842383</v>
      </c>
      <c r="BH554" s="63">
        <f t="shared" si="507"/>
        <v>-141.05315229514602</v>
      </c>
      <c r="BI554" s="60" t="e">
        <f t="shared" si="460"/>
        <v>#NUM!</v>
      </c>
      <c r="BJ554" s="66" t="e">
        <f t="shared" si="508"/>
        <v>#NUM!</v>
      </c>
      <c r="BK554" s="63" t="e">
        <f t="shared" si="461"/>
        <v>#NUM!</v>
      </c>
      <c r="BL554" s="51">
        <f t="shared" si="509"/>
        <v>-69.254777755842383</v>
      </c>
      <c r="BM554" s="63">
        <f t="shared" si="510"/>
        <v>-141.05315229514602</v>
      </c>
    </row>
    <row r="555" spans="14:65" x14ac:dyDescent="0.3">
      <c r="N555" s="11">
        <v>37</v>
      </c>
      <c r="O555" s="52">
        <f t="shared" si="462"/>
        <v>2344228.8153199251</v>
      </c>
      <c r="P555" s="50" t="str">
        <f t="shared" si="463"/>
        <v>23.3035714285714</v>
      </c>
      <c r="Q555" s="18" t="str">
        <f t="shared" si="464"/>
        <v>1+7890.65574058134i</v>
      </c>
      <c r="R555" s="18">
        <f t="shared" si="475"/>
        <v>7890.6558039474303</v>
      </c>
      <c r="S555" s="18">
        <f t="shared" si="476"/>
        <v>1.5706695946160356</v>
      </c>
      <c r="T555" s="18" t="str">
        <f t="shared" si="465"/>
        <v>1+14.7292240490852i</v>
      </c>
      <c r="U555" s="18">
        <f t="shared" si="477"/>
        <v>14.763131141060484</v>
      </c>
      <c r="V555" s="18">
        <f t="shared" si="478"/>
        <v>1.5030081133815762</v>
      </c>
      <c r="W555" s="32" t="str">
        <f t="shared" si="466"/>
        <v>1-36.0047698977638i</v>
      </c>
      <c r="X555" s="18">
        <f t="shared" si="479"/>
        <v>36.018654269571456</v>
      </c>
      <c r="Y555" s="18">
        <f t="shared" si="480"/>
        <v>-1.5430293673536242</v>
      </c>
      <c r="Z555" s="32" t="str">
        <f t="shared" si="467"/>
        <v>-20.9816349543052+17.6710183222887i</v>
      </c>
      <c r="AA555" s="18">
        <f t="shared" si="481"/>
        <v>27.431622152223966</v>
      </c>
      <c r="AB555" s="18">
        <f t="shared" si="482"/>
        <v>2.441636400166578</v>
      </c>
      <c r="AC555" s="68" t="str">
        <f t="shared" si="483"/>
        <v>-0.0351027911524854+0.0452236766677694i</v>
      </c>
      <c r="AD555" s="66">
        <f t="shared" si="484"/>
        <v>-24.844722894436035</v>
      </c>
      <c r="AE555" s="63">
        <f t="shared" si="485"/>
        <v>127.81875144049746</v>
      </c>
      <c r="AF555" s="51" t="e">
        <f t="shared" si="486"/>
        <v>#NUM!</v>
      </c>
      <c r="AG555" s="51" t="str">
        <f t="shared" si="468"/>
        <v>1-11046.9180368139i</v>
      </c>
      <c r="AH555" s="51">
        <f t="shared" si="487"/>
        <v>11046.918082075394</v>
      </c>
      <c r="AI555" s="51">
        <f t="shared" si="488"/>
        <v>-1.5707058038097585</v>
      </c>
      <c r="AJ555" s="51" t="str">
        <f t="shared" si="469"/>
        <v>1+14.7292240490852i</v>
      </c>
      <c r="AK555" s="51">
        <f t="shared" si="489"/>
        <v>14.763131141060484</v>
      </c>
      <c r="AL555" s="51">
        <f t="shared" si="490"/>
        <v>1.5030081133815762</v>
      </c>
      <c r="AM555" s="51" t="e">
        <f t="shared" si="470"/>
        <v>#NUM!</v>
      </c>
      <c r="AN555" s="51" t="e">
        <f t="shared" si="491"/>
        <v>#NUM!</v>
      </c>
      <c r="AO555" s="51" t="e">
        <f t="shared" si="492"/>
        <v>#NUM!</v>
      </c>
      <c r="AP555" s="60" t="e">
        <f t="shared" si="493"/>
        <v>#NUM!</v>
      </c>
      <c r="AQ555" s="51" t="e">
        <f t="shared" si="494"/>
        <v>#NUM!</v>
      </c>
      <c r="AR555" s="63" t="e">
        <f t="shared" si="495"/>
        <v>#NUM!</v>
      </c>
      <c r="AS555" s="32" t="str">
        <f t="shared" si="471"/>
        <v>-0.000170731707317073</v>
      </c>
      <c r="AT555" s="32" t="str">
        <f t="shared" si="472"/>
        <v>0.559710513865236i</v>
      </c>
      <c r="AU555" s="32">
        <f t="shared" si="496"/>
        <v>0.55971051386523596</v>
      </c>
      <c r="AV555" s="32">
        <f t="shared" si="497"/>
        <v>1.5707963267948966</v>
      </c>
      <c r="AW555" s="32" t="str">
        <f t="shared" si="473"/>
        <v>1+119.167174780283i</v>
      </c>
      <c r="AX555" s="32">
        <f t="shared" si="498"/>
        <v>119.17137049272579</v>
      </c>
      <c r="AY555" s="32">
        <f t="shared" si="499"/>
        <v>1.5624049511496727</v>
      </c>
      <c r="AZ555" s="32" t="str">
        <f t="shared" si="474"/>
        <v>1+2264.17632082538i</v>
      </c>
      <c r="BA555" s="32">
        <f t="shared" si="500"/>
        <v>2264.1765416562275</v>
      </c>
      <c r="BB555" s="32">
        <f t="shared" si="501"/>
        <v>1.5703546651072531</v>
      </c>
      <c r="BC555" s="60" t="str">
        <f t="shared" si="502"/>
        <v>-0.000046071886852125+0.00579529232677286i</v>
      </c>
      <c r="BD555" s="51">
        <f t="shared" si="503"/>
        <v>-44.738218580247569</v>
      </c>
      <c r="BE555" s="63">
        <f t="shared" si="504"/>
        <v>90.455485058105594</v>
      </c>
      <c r="BF555" s="60" t="str">
        <f t="shared" si="505"/>
        <v>-0.00026046717455901-0.000205514476328783i</v>
      </c>
      <c r="BG555" s="66">
        <f t="shared" si="506"/>
        <v>-69.582941474683608</v>
      </c>
      <c r="BH555" s="63">
        <f t="shared" si="507"/>
        <v>-141.72576350139698</v>
      </c>
      <c r="BI555" s="60" t="e">
        <f t="shared" si="460"/>
        <v>#NUM!</v>
      </c>
      <c r="BJ555" s="66" t="e">
        <f t="shared" si="508"/>
        <v>#NUM!</v>
      </c>
      <c r="BK555" s="63" t="e">
        <f t="shared" si="461"/>
        <v>#NUM!</v>
      </c>
      <c r="BL555" s="51">
        <f t="shared" si="509"/>
        <v>-69.582941474683608</v>
      </c>
      <c r="BM555" s="63">
        <f t="shared" si="510"/>
        <v>-141.72576350139698</v>
      </c>
    </row>
    <row r="556" spans="14:65" x14ac:dyDescent="0.3">
      <c r="N556" s="11">
        <v>38</v>
      </c>
      <c r="O556" s="52">
        <f t="shared" si="462"/>
        <v>2398832.9190194933</v>
      </c>
      <c r="P556" s="50" t="str">
        <f t="shared" si="463"/>
        <v>23.3035714285714</v>
      </c>
      <c r="Q556" s="18" t="str">
        <f t="shared" si="464"/>
        <v>1+8074.45272383677i</v>
      </c>
      <c r="R556" s="18">
        <f t="shared" si="475"/>
        <v>8074.4527857604717</v>
      </c>
      <c r="S556" s="18">
        <f t="shared" si="476"/>
        <v>1.570672479392591</v>
      </c>
      <c r="T556" s="18" t="str">
        <f t="shared" si="465"/>
        <v>1+15.072311751162i</v>
      </c>
      <c r="U556" s="18">
        <f t="shared" si="477"/>
        <v>15.105448736274472</v>
      </c>
      <c r="V556" s="18">
        <f t="shared" si="478"/>
        <v>1.5045465981944726</v>
      </c>
      <c r="W556" s="32" t="str">
        <f t="shared" si="466"/>
        <v>1-36.8434287250627i</v>
      </c>
      <c r="X556" s="18">
        <f t="shared" si="479"/>
        <v>36.856997167685478</v>
      </c>
      <c r="Y556" s="18">
        <f t="shared" si="480"/>
        <v>-1.5436611066894403</v>
      </c>
      <c r="Z556" s="32" t="str">
        <f t="shared" si="467"/>
        <v>-22.0175974934864+18.0826292156628i</v>
      </c>
      <c r="AA556" s="18">
        <f t="shared" si="481"/>
        <v>28.49133339695284</v>
      </c>
      <c r="AB556" s="18">
        <f t="shared" si="482"/>
        <v>2.4540096626725649</v>
      </c>
      <c r="AC556" s="68" t="str">
        <f t="shared" si="483"/>
        <v>-0.0340670082639864+0.0449441368354314i</v>
      </c>
      <c r="AD556" s="66">
        <f t="shared" si="484"/>
        <v>-24.974996177197969</v>
      </c>
      <c r="AE556" s="63">
        <f t="shared" si="485"/>
        <v>127.16160312350469</v>
      </c>
      <c r="AF556" s="51" t="e">
        <f t="shared" si="486"/>
        <v>#NUM!</v>
      </c>
      <c r="AG556" s="51" t="str">
        <f t="shared" si="468"/>
        <v>1-11304.2338133715i</v>
      </c>
      <c r="AH556" s="51">
        <f t="shared" si="487"/>
        <v>11304.233857602714</v>
      </c>
      <c r="AI556" s="51">
        <f t="shared" si="488"/>
        <v>-1.5707078643644568</v>
      </c>
      <c r="AJ556" s="51" t="str">
        <f t="shared" si="469"/>
        <v>1+15.072311751162i</v>
      </c>
      <c r="AK556" s="51">
        <f t="shared" si="489"/>
        <v>15.105448736274472</v>
      </c>
      <c r="AL556" s="51">
        <f t="shared" si="490"/>
        <v>1.5045465981944726</v>
      </c>
      <c r="AM556" s="51" t="e">
        <f t="shared" si="470"/>
        <v>#NUM!</v>
      </c>
      <c r="AN556" s="51" t="e">
        <f t="shared" si="491"/>
        <v>#NUM!</v>
      </c>
      <c r="AO556" s="51" t="e">
        <f t="shared" si="492"/>
        <v>#NUM!</v>
      </c>
      <c r="AP556" s="60" t="e">
        <f t="shared" si="493"/>
        <v>#NUM!</v>
      </c>
      <c r="AQ556" s="51" t="e">
        <f t="shared" si="494"/>
        <v>#NUM!</v>
      </c>
      <c r="AR556" s="63" t="e">
        <f t="shared" si="495"/>
        <v>#NUM!</v>
      </c>
      <c r="AS556" s="32" t="str">
        <f t="shared" si="471"/>
        <v>-0.000170731707317073</v>
      </c>
      <c r="AT556" s="32" t="str">
        <f t="shared" si="472"/>
        <v>0.572747846544156i</v>
      </c>
      <c r="AU556" s="32">
        <f t="shared" si="496"/>
        <v>0.572747846544156</v>
      </c>
      <c r="AV556" s="32">
        <f t="shared" si="497"/>
        <v>1.5707963267948966</v>
      </c>
      <c r="AW556" s="32" t="str">
        <f t="shared" si="473"/>
        <v>1+121.942934862559i</v>
      </c>
      <c r="AX556" s="32">
        <f t="shared" si="498"/>
        <v>121.94703507217511</v>
      </c>
      <c r="AY556" s="32">
        <f t="shared" si="499"/>
        <v>1.5625959535165872</v>
      </c>
      <c r="AZ556" s="32" t="str">
        <f t="shared" si="474"/>
        <v>1+2316.91576238862i</v>
      </c>
      <c r="BA556" s="32">
        <f t="shared" si="500"/>
        <v>2316.9159781927442</v>
      </c>
      <c r="BB556" s="32">
        <f t="shared" si="501"/>
        <v>1.570364718553398</v>
      </c>
      <c r="BC556" s="60" t="str">
        <f t="shared" si="502"/>
        <v>-0.0000439984498046494+0.00566339237138091i</v>
      </c>
      <c r="BD556" s="51">
        <f t="shared" si="503"/>
        <v>-44.938204854993053</v>
      </c>
      <c r="BE556" s="63">
        <f t="shared" si="504"/>
        <v>90.445117448638058</v>
      </c>
      <c r="BF556" s="60" t="str">
        <f t="shared" si="505"/>
        <v>-0.000253037386138984-0.000194912307066598i</v>
      </c>
      <c r="BG556" s="66">
        <f t="shared" si="506"/>
        <v>-69.913201032191026</v>
      </c>
      <c r="BH556" s="63">
        <f t="shared" si="507"/>
        <v>-142.39327942785721</v>
      </c>
      <c r="BI556" s="60" t="e">
        <f t="shared" si="460"/>
        <v>#NUM!</v>
      </c>
      <c r="BJ556" s="66" t="e">
        <f t="shared" si="508"/>
        <v>#NUM!</v>
      </c>
      <c r="BK556" s="63" t="e">
        <f t="shared" si="461"/>
        <v>#NUM!</v>
      </c>
      <c r="BL556" s="51">
        <f t="shared" si="509"/>
        <v>-69.913201032191026</v>
      </c>
      <c r="BM556" s="63">
        <f t="shared" si="510"/>
        <v>-142.39327942785721</v>
      </c>
    </row>
    <row r="557" spans="14:65" x14ac:dyDescent="0.3">
      <c r="N557" s="11">
        <v>39</v>
      </c>
      <c r="O557" s="52">
        <f t="shared" si="462"/>
        <v>2454708.915685033</v>
      </c>
      <c r="P557" s="50" t="str">
        <f t="shared" si="463"/>
        <v>23.3035714285714</v>
      </c>
      <c r="Q557" s="18" t="str">
        <f t="shared" si="464"/>
        <v>1+8262.5308888044i</v>
      </c>
      <c r="R557" s="18">
        <f t="shared" si="475"/>
        <v>8262.530949318545</v>
      </c>
      <c r="S557" s="18">
        <f t="shared" si="476"/>
        <v>1.570675298503617</v>
      </c>
      <c r="T557" s="18" t="str">
        <f t="shared" si="465"/>
        <v>1+15.4233909924349i</v>
      </c>
      <c r="U557" s="18">
        <f t="shared" si="477"/>
        <v>15.455775286459172</v>
      </c>
      <c r="V557" s="18">
        <f t="shared" si="478"/>
        <v>1.5060503663667077</v>
      </c>
      <c r="W557" s="32" t="str">
        <f t="shared" si="466"/>
        <v>1-37.701622425952i</v>
      </c>
      <c r="X557" s="18">
        <f t="shared" si="479"/>
        <v>37.714882122963694</v>
      </c>
      <c r="Y557" s="18">
        <f t="shared" si="480"/>
        <v>-1.544278486817003</v>
      </c>
      <c r="Z557" s="32" t="str">
        <f t="shared" si="467"/>
        <v>-23.1023834429743+18.503827758399i</v>
      </c>
      <c r="AA557" s="18">
        <f t="shared" si="481"/>
        <v>29.599185165451949</v>
      </c>
      <c r="AB557" s="18">
        <f t="shared" si="482"/>
        <v>2.4662734039172687</v>
      </c>
      <c r="AC557" s="68" t="str">
        <f t="shared" si="483"/>
        <v>-0.0330459896909514+0.0446434996076852i</v>
      </c>
      <c r="AD557" s="66">
        <f t="shared" si="484"/>
        <v>-25.107336412131485</v>
      </c>
      <c r="AE557" s="63">
        <f t="shared" si="485"/>
        <v>126.50956727994948</v>
      </c>
      <c r="AF557" s="51" t="e">
        <f t="shared" si="486"/>
        <v>#NUM!</v>
      </c>
      <c r="AG557" s="51" t="str">
        <f t="shared" si="468"/>
        <v>1-11567.5432443262i</v>
      </c>
      <c r="AH557" s="51">
        <f t="shared" si="487"/>
        <v>11567.543287550589</v>
      </c>
      <c r="AI557" s="51">
        <f t="shared" si="488"/>
        <v>-1.5707098780152045</v>
      </c>
      <c r="AJ557" s="51" t="str">
        <f t="shared" si="469"/>
        <v>1+15.4233909924349i</v>
      </c>
      <c r="AK557" s="51">
        <f t="shared" si="489"/>
        <v>15.455775286459172</v>
      </c>
      <c r="AL557" s="51">
        <f t="shared" si="490"/>
        <v>1.5060503663667077</v>
      </c>
      <c r="AM557" s="51" t="e">
        <f t="shared" si="470"/>
        <v>#NUM!</v>
      </c>
      <c r="AN557" s="51" t="e">
        <f t="shared" si="491"/>
        <v>#NUM!</v>
      </c>
      <c r="AO557" s="51" t="e">
        <f t="shared" si="492"/>
        <v>#NUM!</v>
      </c>
      <c r="AP557" s="60" t="e">
        <f t="shared" si="493"/>
        <v>#NUM!</v>
      </c>
      <c r="AQ557" s="51" t="e">
        <f t="shared" si="494"/>
        <v>#NUM!</v>
      </c>
      <c r="AR557" s="63" t="e">
        <f t="shared" si="495"/>
        <v>#NUM!</v>
      </c>
      <c r="AS557" s="32" t="str">
        <f t="shared" si="471"/>
        <v>-0.000170731707317073</v>
      </c>
      <c r="AT557" s="32" t="str">
        <f t="shared" si="472"/>
        <v>0.586088857712528i</v>
      </c>
      <c r="AU557" s="32">
        <f t="shared" si="496"/>
        <v>0.58608885771252806</v>
      </c>
      <c r="AV557" s="32">
        <f t="shared" si="497"/>
        <v>1.5707963267948966</v>
      </c>
      <c r="AW557" s="32" t="str">
        <f t="shared" si="473"/>
        <v>1+124.783350703005i</v>
      </c>
      <c r="AX557" s="32">
        <f t="shared" si="498"/>
        <v>124.78735758348736</v>
      </c>
      <c r="AY557" s="32">
        <f t="shared" si="499"/>
        <v>1.5627826087169998</v>
      </c>
      <c r="AZ557" s="32" t="str">
        <f t="shared" si="474"/>
        <v>1+2370.88366335709i</v>
      </c>
      <c r="BA557" s="32">
        <f t="shared" si="500"/>
        <v>2370.8838742489129</v>
      </c>
      <c r="BB557" s="32">
        <f t="shared" si="501"/>
        <v>1.5703745431552543</v>
      </c>
      <c r="BC557" s="60" t="str">
        <f t="shared" si="502"/>
        <v>-0.0000420183205285842+0.00553449369072808i</v>
      </c>
      <c r="BD557" s="51">
        <f t="shared" si="503"/>
        <v>-45.138191747435997</v>
      </c>
      <c r="BE557" s="63">
        <f t="shared" si="504"/>
        <v>90.43498580165199</v>
      </c>
      <c r="BF557" s="60" t="str">
        <f t="shared" si="505"/>
        <v>-0.000245690629923737-0.000184768666324469i</v>
      </c>
      <c r="BG557" s="66">
        <f t="shared" si="506"/>
        <v>-70.245528159567485</v>
      </c>
      <c r="BH557" s="63">
        <f t="shared" si="507"/>
        <v>-143.05544691839859</v>
      </c>
      <c r="BI557" s="60" t="e">
        <f t="shared" si="460"/>
        <v>#NUM!</v>
      </c>
      <c r="BJ557" s="66" t="e">
        <f t="shared" si="508"/>
        <v>#NUM!</v>
      </c>
      <c r="BK557" s="63" t="e">
        <f t="shared" si="461"/>
        <v>#NUM!</v>
      </c>
      <c r="BL557" s="51">
        <f t="shared" si="509"/>
        <v>-70.245528159567485</v>
      </c>
      <c r="BM557" s="63">
        <f t="shared" si="510"/>
        <v>-143.05544691839859</v>
      </c>
    </row>
    <row r="558" spans="14:65" x14ac:dyDescent="0.3">
      <c r="N558" s="11">
        <v>40</v>
      </c>
      <c r="O558" s="52">
        <f t="shared" si="462"/>
        <v>2511886.431509587</v>
      </c>
      <c r="P558" s="50" t="str">
        <f t="shared" si="463"/>
        <v>23.3035714285714</v>
      </c>
      <c r="Q558" s="18" t="str">
        <f t="shared" si="464"/>
        <v>1+8454.98995701684i</v>
      </c>
      <c r="R558" s="18">
        <f t="shared" si="475"/>
        <v>8454.9900161535152</v>
      </c>
      <c r="S558" s="18">
        <f t="shared" si="476"/>
        <v>1.5706780534438434</v>
      </c>
      <c r="T558" s="18" t="str">
        <f t="shared" si="465"/>
        <v>1+15.7826479197648i</v>
      </c>
      <c r="U558" s="18">
        <f t="shared" si="477"/>
        <v>15.814296549617886</v>
      </c>
      <c r="V558" s="18">
        <f t="shared" si="478"/>
        <v>1.5075201879967579</v>
      </c>
      <c r="W558" s="32" t="str">
        <f t="shared" si="466"/>
        <v>1-38.5798060260917i</v>
      </c>
      <c r="X558" s="18">
        <f t="shared" si="479"/>
        <v>38.592763998071732</v>
      </c>
      <c r="Y558" s="18">
        <f t="shared" si="480"/>
        <v>-1.5448818331957941</v>
      </c>
      <c r="Z558" s="32" t="str">
        <f t="shared" si="467"/>
        <v>-24.2382937792079+18.9348372755398i</v>
      </c>
      <c r="AA558" s="18">
        <f t="shared" si="481"/>
        <v>30.75748604776339</v>
      </c>
      <c r="AB558" s="18">
        <f t="shared" si="482"/>
        <v>2.4784237295689229</v>
      </c>
      <c r="AC558" s="68" t="str">
        <f t="shared" si="483"/>
        <v>-0.0320404771626766+0.0443225892922444i</v>
      </c>
      <c r="AD558" s="66">
        <f t="shared" si="484"/>
        <v>-25.241713760193882</v>
      </c>
      <c r="AE558" s="63">
        <f t="shared" si="485"/>
        <v>125.86289242890194</v>
      </c>
      <c r="AF558" s="51" t="e">
        <f t="shared" si="486"/>
        <v>#NUM!</v>
      </c>
      <c r="AG558" s="51" t="str">
        <f t="shared" si="468"/>
        <v>1-11836.9859398236i</v>
      </c>
      <c r="AH558" s="51">
        <f t="shared" si="487"/>
        <v>11836.985982064083</v>
      </c>
      <c r="AI558" s="51">
        <f t="shared" si="488"/>
        <v>-1.5707118458296656</v>
      </c>
      <c r="AJ558" s="51" t="str">
        <f t="shared" si="469"/>
        <v>1+15.7826479197648i</v>
      </c>
      <c r="AK558" s="51">
        <f t="shared" si="489"/>
        <v>15.814296549617886</v>
      </c>
      <c r="AL558" s="51">
        <f t="shared" si="490"/>
        <v>1.5075201879967579</v>
      </c>
      <c r="AM558" s="51" t="e">
        <f t="shared" si="470"/>
        <v>#NUM!</v>
      </c>
      <c r="AN558" s="51" t="e">
        <f t="shared" si="491"/>
        <v>#NUM!</v>
      </c>
      <c r="AO558" s="51" t="e">
        <f t="shared" si="492"/>
        <v>#NUM!</v>
      </c>
      <c r="AP558" s="60" t="e">
        <f t="shared" si="493"/>
        <v>#NUM!</v>
      </c>
      <c r="AQ558" s="51" t="e">
        <f t="shared" si="494"/>
        <v>#NUM!</v>
      </c>
      <c r="AR558" s="63" t="e">
        <f t="shared" si="495"/>
        <v>#NUM!</v>
      </c>
      <c r="AS558" s="32" t="str">
        <f t="shared" si="471"/>
        <v>-0.000170731707317073</v>
      </c>
      <c r="AT558" s="32" t="str">
        <f t="shared" si="472"/>
        <v>0.599740620951062i</v>
      </c>
      <c r="AU558" s="32">
        <f t="shared" si="496"/>
        <v>0.59974062095106195</v>
      </c>
      <c r="AV558" s="32">
        <f t="shared" si="497"/>
        <v>1.5707963267948966</v>
      </c>
      <c r="AW558" s="32" t="str">
        <f t="shared" si="473"/>
        <v>1+127.689928327697i</v>
      </c>
      <c r="AX558" s="32">
        <f t="shared" si="498"/>
        <v>127.6938440032737</v>
      </c>
      <c r="AY558" s="32">
        <f t="shared" si="499"/>
        <v>1.5629650156659136</v>
      </c>
      <c r="AZ558" s="32" t="str">
        <f t="shared" si="474"/>
        <v>1+2426.10863822625i</v>
      </c>
      <c r="BA558" s="32">
        <f t="shared" si="500"/>
        <v>2426.1088443175895</v>
      </c>
      <c r="BB558" s="32">
        <f t="shared" si="501"/>
        <v>1.5703841441219477</v>
      </c>
      <c r="BC558" s="60" t="str">
        <f t="shared" si="502"/>
        <v>-0.0000401273005617966+0.00540852804319308i</v>
      </c>
      <c r="BD558" s="51">
        <f t="shared" si="503"/>
        <v>-45.338179229778987</v>
      </c>
      <c r="BE558" s="63">
        <f t="shared" si="504"/>
        <v>90.42508474819617</v>
      </c>
      <c r="BF558" s="60" t="str">
        <f t="shared" si="505"/>
        <v>-0.000238434269276783-0.000175070365113831i</v>
      </c>
      <c r="BG558" s="66">
        <f t="shared" si="506"/>
        <v>-70.579892989972862</v>
      </c>
      <c r="BH558" s="63">
        <f t="shared" si="507"/>
        <v>-143.71202282290184</v>
      </c>
      <c r="BI558" s="60" t="e">
        <f t="shared" si="460"/>
        <v>#NUM!</v>
      </c>
      <c r="BJ558" s="66" t="e">
        <f t="shared" si="508"/>
        <v>#NUM!</v>
      </c>
      <c r="BK558" s="63" t="e">
        <f t="shared" si="461"/>
        <v>#NUM!</v>
      </c>
      <c r="BL558" s="51">
        <f t="shared" si="509"/>
        <v>-70.579892989972862</v>
      </c>
      <c r="BM558" s="63">
        <f t="shared" si="510"/>
        <v>-143.71202282290184</v>
      </c>
    </row>
    <row r="559" spans="14:65" x14ac:dyDescent="0.3">
      <c r="N559" s="11">
        <v>41</v>
      </c>
      <c r="O559" s="52">
        <f t="shared" si="462"/>
        <v>2570395.782768866</v>
      </c>
      <c r="P559" s="50" t="str">
        <f t="shared" si="463"/>
        <v>23.3035714285714</v>
      </c>
      <c r="Q559" s="18" t="str">
        <f t="shared" si="464"/>
        <v>1+8651.93197281947i</v>
      </c>
      <c r="R559" s="18">
        <f t="shared" si="475"/>
        <v>8651.9320306100308</v>
      </c>
      <c r="S559" s="18">
        <f t="shared" si="476"/>
        <v>1.570680745673976</v>
      </c>
      <c r="T559" s="18" t="str">
        <f t="shared" si="465"/>
        <v>1+16.1502730159297i</v>
      </c>
      <c r="U559" s="18">
        <f t="shared" si="477"/>
        <v>16.181202628020792</v>
      </c>
      <c r="V559" s="18">
        <f t="shared" si="478"/>
        <v>1.5089568169862517</v>
      </c>
      <c r="W559" s="32" t="str">
        <f t="shared" si="466"/>
        <v>1-39.4784451500504i</v>
      </c>
      <c r="X559" s="18">
        <f t="shared" si="479"/>
        <v>39.491108258259068</v>
      </c>
      <c r="Y559" s="18">
        <f t="shared" si="480"/>
        <v>-1.5454714639699692</v>
      </c>
      <c r="Z559" s="32" t="str">
        <f t="shared" si="467"/>
        <v>-25.4277379203039+19.3758862940363i</v>
      </c>
      <c r="AA559" s="18">
        <f t="shared" si="481"/>
        <v>31.968653794351191</v>
      </c>
      <c r="AB559" s="18">
        <f t="shared" si="482"/>
        <v>2.4904569207164799</v>
      </c>
      <c r="AC559" s="68" t="str">
        <f t="shared" si="483"/>
        <v>-0.0310511581292283+0.0439822586897419i</v>
      </c>
      <c r="AD559" s="66">
        <f t="shared" si="484"/>
        <v>-25.378096893498316</v>
      </c>
      <c r="AE559" s="63">
        <f t="shared" si="485"/>
        <v>125.22181653164175</v>
      </c>
      <c r="AF559" s="51" t="e">
        <f t="shared" si="486"/>
        <v>#NUM!</v>
      </c>
      <c r="AG559" s="51" t="str">
        <f t="shared" si="468"/>
        <v>1-12112.7047619473i</v>
      </c>
      <c r="AH559" s="51">
        <f t="shared" si="487"/>
        <v>12112.704803226272</v>
      </c>
      <c r="AI559" s="51">
        <f t="shared" si="488"/>
        <v>-1.5707137688512018</v>
      </c>
      <c r="AJ559" s="51" t="str">
        <f t="shared" si="469"/>
        <v>1+16.1502730159297i</v>
      </c>
      <c r="AK559" s="51">
        <f t="shared" si="489"/>
        <v>16.181202628020792</v>
      </c>
      <c r="AL559" s="51">
        <f t="shared" si="490"/>
        <v>1.5089568169862517</v>
      </c>
      <c r="AM559" s="51" t="e">
        <f t="shared" si="470"/>
        <v>#NUM!</v>
      </c>
      <c r="AN559" s="51" t="e">
        <f t="shared" si="491"/>
        <v>#NUM!</v>
      </c>
      <c r="AO559" s="51" t="e">
        <f t="shared" si="492"/>
        <v>#NUM!</v>
      </c>
      <c r="AP559" s="60" t="e">
        <f t="shared" si="493"/>
        <v>#NUM!</v>
      </c>
      <c r="AQ559" s="51" t="e">
        <f t="shared" si="494"/>
        <v>#NUM!</v>
      </c>
      <c r="AR559" s="63" t="e">
        <f t="shared" si="495"/>
        <v>#NUM!</v>
      </c>
      <c r="AS559" s="32" t="str">
        <f t="shared" si="471"/>
        <v>-0.000170731707317073</v>
      </c>
      <c r="AT559" s="32" t="str">
        <f t="shared" si="472"/>
        <v>0.613710374605329i</v>
      </c>
      <c r="AU559" s="32">
        <f t="shared" si="496"/>
        <v>0.61371037460532896</v>
      </c>
      <c r="AV559" s="32">
        <f t="shared" si="497"/>
        <v>1.5707963267948966</v>
      </c>
      <c r="AW559" s="32" t="str">
        <f t="shared" si="473"/>
        <v>1+130.664208842564i</v>
      </c>
      <c r="AX559" s="32">
        <f t="shared" si="498"/>
        <v>130.6680353891233</v>
      </c>
      <c r="AY559" s="32">
        <f t="shared" si="499"/>
        <v>1.5631432710293265</v>
      </c>
      <c r="AZ559" s="32" t="str">
        <f t="shared" si="474"/>
        <v>1+2482.61996800871i</v>
      </c>
      <c r="BA559" s="32">
        <f t="shared" si="500"/>
        <v>2482.6201694088386</v>
      </c>
      <c r="BB559" s="32">
        <f t="shared" si="501"/>
        <v>1.5703935265440312</v>
      </c>
      <c r="BC559" s="60" t="str">
        <f t="shared" si="502"/>
        <v>-0.0000383213803091169+0.00528542873546979i</v>
      </c>
      <c r="BD559" s="51">
        <f t="shared" si="503"/>
        <v>-45.538167275475566</v>
      </c>
      <c r="BE559" s="63">
        <f t="shared" si="504"/>
        <v>90.415409041384024</v>
      </c>
      <c r="BF559" s="60" t="str">
        <f t="shared" si="505"/>
        <v>-0.000231275170689919-0.000165804144307943i</v>
      </c>
      <c r="BG559" s="66">
        <f t="shared" si="506"/>
        <v>-70.916264168973882</v>
      </c>
      <c r="BH559" s="63">
        <f t="shared" si="507"/>
        <v>-144.36277442697425</v>
      </c>
      <c r="BI559" s="60" t="e">
        <f t="shared" si="460"/>
        <v>#NUM!</v>
      </c>
      <c r="BJ559" s="66" t="e">
        <f t="shared" si="508"/>
        <v>#NUM!</v>
      </c>
      <c r="BK559" s="63" t="e">
        <f t="shared" si="461"/>
        <v>#NUM!</v>
      </c>
      <c r="BL559" s="51">
        <f t="shared" si="509"/>
        <v>-70.916264168973882</v>
      </c>
      <c r="BM559" s="63">
        <f t="shared" si="510"/>
        <v>-144.36277442697425</v>
      </c>
    </row>
    <row r="560" spans="14:65" ht="15" thickBot="1" x14ac:dyDescent="0.35">
      <c r="N560" s="11">
        <v>42</v>
      </c>
      <c r="O560" s="52">
        <f t="shared" si="462"/>
        <v>2630267.9918953842</v>
      </c>
      <c r="P560" s="50" t="str">
        <f t="shared" si="463"/>
        <v>23.3035714285714</v>
      </c>
      <c r="Q560" s="18" t="str">
        <f t="shared" si="464"/>
        <v>1+8853.46135747595i</v>
      </c>
      <c r="R560" s="18">
        <f t="shared" si="475"/>
        <v>8853.4614139510359</v>
      </c>
      <c r="S560" s="18">
        <f t="shared" si="476"/>
        <v>1.5706833766214705</v>
      </c>
      <c r="T560" s="18" t="str">
        <f t="shared" si="465"/>
        <v>1+16.5264612006218i</v>
      </c>
      <c r="U560" s="18">
        <f t="shared" si="477"/>
        <v>16.556688069045023</v>
      </c>
      <c r="V560" s="18">
        <f t="shared" si="478"/>
        <v>1.5103609913210123</v>
      </c>
      <c r="W560" s="32" t="str">
        <f t="shared" si="466"/>
        <v>1-40.3980162681866i</v>
      </c>
      <c r="X560" s="18">
        <f t="shared" si="479"/>
        <v>40.410391218159091</v>
      </c>
      <c r="Y560" s="18">
        <f t="shared" si="480"/>
        <v>-1.5460476901286806</v>
      </c>
      <c r="Z560" s="32" t="str">
        <f t="shared" si="467"/>
        <v>-26.6732388367575+19.827208663916i</v>
      </c>
      <c r="AA560" s="18">
        <f t="shared" si="481"/>
        <v>33.2352203760585</v>
      </c>
      <c r="AB560" s="18">
        <f t="shared" si="482"/>
        <v>2.5023694404433883</v>
      </c>
      <c r="AC560" s="61" t="str">
        <f t="shared" si="483"/>
        <v>-0.030078664713385+0.0436233848544398i</v>
      </c>
      <c r="AD560" s="67">
        <f t="shared" si="484"/>
        <v>-25.516453108258439</v>
      </c>
      <c r="AE560" s="65">
        <f t="shared" si="485"/>
        <v>124.58656662187904</v>
      </c>
      <c r="AF560" s="51" t="e">
        <f t="shared" si="486"/>
        <v>#NUM!</v>
      </c>
      <c r="AG560" s="51" t="str">
        <f t="shared" si="468"/>
        <v>1-12394.8459004664i</v>
      </c>
      <c r="AH560" s="51">
        <f t="shared" si="487"/>
        <v>12394.845940805748</v>
      </c>
      <c r="AI560" s="51">
        <f t="shared" si="488"/>
        <v>-1.5707156480994242</v>
      </c>
      <c r="AJ560" s="51" t="str">
        <f t="shared" si="469"/>
        <v>1+16.5264612006218i</v>
      </c>
      <c r="AK560" s="51">
        <f t="shared" si="489"/>
        <v>16.556688069045023</v>
      </c>
      <c r="AL560" s="51">
        <f t="shared" si="490"/>
        <v>1.5103609913210123</v>
      </c>
      <c r="AM560" s="51" t="e">
        <f t="shared" si="470"/>
        <v>#NUM!</v>
      </c>
      <c r="AN560" s="51" t="e">
        <f t="shared" si="491"/>
        <v>#NUM!</v>
      </c>
      <c r="AO560" s="51" t="e">
        <f t="shared" si="492"/>
        <v>#NUM!</v>
      </c>
      <c r="AP560" s="64" t="e">
        <f t="shared" si="493"/>
        <v>#NUM!</v>
      </c>
      <c r="AQ560" s="57" t="e">
        <f t="shared" si="494"/>
        <v>#NUM!</v>
      </c>
      <c r="AR560" s="65" t="e">
        <f t="shared" si="495"/>
        <v>#NUM!</v>
      </c>
      <c r="AS560" s="32" t="str">
        <f t="shared" si="471"/>
        <v>-0.000170731707317073</v>
      </c>
      <c r="AT560" s="32" t="str">
        <f t="shared" si="472"/>
        <v>0.62800552562363i</v>
      </c>
      <c r="AU560" s="32">
        <f t="shared" si="496"/>
        <v>0.62800552562362999</v>
      </c>
      <c r="AV560" s="32">
        <f t="shared" si="497"/>
        <v>1.5707963267948966</v>
      </c>
      <c r="AW560" s="32" t="str">
        <f t="shared" si="473"/>
        <v>1+133.707769250504i</v>
      </c>
      <c r="AX560" s="32">
        <f t="shared" si="498"/>
        <v>133.71150869669378</v>
      </c>
      <c r="AY560" s="32">
        <f t="shared" si="499"/>
        <v>1.5633174692752532</v>
      </c>
      <c r="AZ560" s="32" t="str">
        <f t="shared" si="474"/>
        <v>1+2540.44761575958i</v>
      </c>
      <c r="BA560" s="32">
        <f t="shared" si="500"/>
        <v>2540.4478125752817</v>
      </c>
      <c r="BB560" s="32">
        <f t="shared" si="501"/>
        <v>1.5704026953961825</v>
      </c>
      <c r="BC560" s="64" t="str">
        <f t="shared" si="502"/>
        <v>-0.0000365967305502813+0.00516513058766079i</v>
      </c>
      <c r="BD560" s="57">
        <f t="shared" si="503"/>
        <v>-45.738155859173517</v>
      </c>
      <c r="BE560" s="65">
        <f t="shared" si="504"/>
        <v>90.405953553625096</v>
      </c>
      <c r="BF560" s="64" t="str">
        <f t="shared" si="505"/>
        <v>-0.000224219698661137-0.000156956704408307i</v>
      </c>
      <c r="BG560" s="67">
        <f t="shared" si="506"/>
        <v>-71.254608967431977</v>
      </c>
      <c r="BH560" s="65">
        <f t="shared" si="507"/>
        <v>-145.00747982449585</v>
      </c>
      <c r="BI560" s="64" t="e">
        <f t="shared" si="460"/>
        <v>#NUM!</v>
      </c>
      <c r="BJ560" s="67" t="e">
        <f t="shared" si="508"/>
        <v>#NUM!</v>
      </c>
      <c r="BK560" s="65" t="e">
        <f t="shared" si="461"/>
        <v>#NUM!</v>
      </c>
      <c r="BL560" s="57">
        <f t="shared" si="509"/>
        <v>-71.254608967431977</v>
      </c>
      <c r="BM560" s="65">
        <f t="shared" si="510"/>
        <v>-145.00747982449585</v>
      </c>
    </row>
    <row r="561" spans="14:31" x14ac:dyDescent="0.3">
      <c r="N561" s="11"/>
      <c r="P561" s="50"/>
      <c r="Q561" s="18"/>
      <c r="R561" s="18"/>
      <c r="S561" s="18"/>
      <c r="T561" s="18"/>
      <c r="U561" s="18"/>
      <c r="V561" s="18"/>
      <c r="W561" s="32"/>
      <c r="X561" s="18"/>
      <c r="Y561" s="18"/>
      <c r="Z561" s="32"/>
      <c r="AA561" s="18"/>
      <c r="AB561" s="18"/>
      <c r="AC561" s="18"/>
      <c r="AD561" s="33"/>
      <c r="AE561" s="32"/>
    </row>
    <row r="562" spans="14:31" x14ac:dyDescent="0.3">
      <c r="N562" s="11"/>
      <c r="P562" s="50"/>
      <c r="Q562" s="18"/>
      <c r="R562" s="18"/>
      <c r="S562" s="18"/>
      <c r="T562" s="18"/>
      <c r="U562" s="18"/>
      <c r="V562" s="18"/>
      <c r="W562" s="32"/>
      <c r="X562" s="18"/>
      <c r="Y562" s="18"/>
      <c r="Z562" s="32"/>
      <c r="AA562" s="18"/>
      <c r="AB562" s="18"/>
      <c r="AC562" s="18"/>
      <c r="AD562" s="33"/>
      <c r="AE562" s="32"/>
    </row>
    <row r="563" spans="14:31" x14ac:dyDescent="0.3">
      <c r="N563" s="11"/>
      <c r="P563" s="50"/>
      <c r="Q563" s="18"/>
      <c r="R563" s="18"/>
      <c r="S563" s="18"/>
      <c r="T563" s="18"/>
      <c r="U563" s="18"/>
      <c r="V563" s="18"/>
      <c r="W563" s="32"/>
      <c r="X563" s="18"/>
      <c r="Y563" s="18"/>
      <c r="Z563" s="32"/>
      <c r="AA563" s="18"/>
      <c r="AB563" s="18"/>
      <c r="AC563" s="18"/>
      <c r="AD563" s="33"/>
      <c r="AE563" s="32"/>
    </row>
    <row r="564" spans="14:31" x14ac:dyDescent="0.3">
      <c r="N564" s="11"/>
      <c r="P564" s="50"/>
      <c r="Q564" s="18"/>
      <c r="R564" s="18"/>
      <c r="S564" s="18"/>
      <c r="T564" s="18"/>
      <c r="U564" s="18"/>
      <c r="V564" s="18"/>
      <c r="W564" s="32"/>
      <c r="X564" s="18"/>
      <c r="Y564" s="18"/>
      <c r="Z564" s="32"/>
      <c r="AA564" s="18"/>
      <c r="AB564" s="18"/>
      <c r="AC564" s="18"/>
      <c r="AD564" s="33"/>
      <c r="AE564" s="32"/>
    </row>
    <row r="565" spans="14:31" x14ac:dyDescent="0.3">
      <c r="N565" s="11"/>
      <c r="P565" s="50"/>
      <c r="Q565" s="18"/>
      <c r="R565" s="18"/>
      <c r="S565" s="18"/>
      <c r="T565" s="18"/>
      <c r="U565" s="18"/>
      <c r="V565" s="18"/>
      <c r="W565" s="32"/>
      <c r="X565" s="18"/>
      <c r="Y565" s="18"/>
      <c r="Z565" s="32"/>
      <c r="AA565" s="18"/>
      <c r="AB565" s="18"/>
      <c r="AC565" s="18"/>
      <c r="AD565" s="33"/>
      <c r="AE565" s="32"/>
    </row>
    <row r="566" spans="14:31" x14ac:dyDescent="0.3">
      <c r="N566" s="11"/>
      <c r="P566" s="50"/>
      <c r="Q566" s="18"/>
      <c r="R566" s="18"/>
      <c r="S566" s="18"/>
      <c r="T566" s="18"/>
      <c r="U566" s="18"/>
      <c r="V566" s="18"/>
      <c r="W566" s="32"/>
      <c r="X566" s="18"/>
      <c r="Y566" s="18"/>
      <c r="Z566" s="32"/>
      <c r="AA566" s="18"/>
      <c r="AB566" s="18"/>
      <c r="AC566" s="18"/>
      <c r="AD566" s="33"/>
      <c r="AE566" s="32"/>
    </row>
    <row r="567" spans="14:31" x14ac:dyDescent="0.3">
      <c r="N567" s="11"/>
      <c r="P567" s="50"/>
      <c r="Q567" s="18"/>
      <c r="R567" s="18"/>
      <c r="S567" s="18"/>
      <c r="T567" s="18"/>
      <c r="U567" s="18"/>
      <c r="V567" s="18"/>
      <c r="W567" s="32"/>
      <c r="X567" s="18"/>
      <c r="Y567" s="18"/>
      <c r="Z567" s="32"/>
      <c r="AA567" s="18"/>
      <c r="AB567" s="18"/>
      <c r="AC567" s="18"/>
      <c r="AD567" s="33"/>
      <c r="AE567" s="32"/>
    </row>
    <row r="568" spans="14:31" x14ac:dyDescent="0.3">
      <c r="N568" s="11"/>
      <c r="P568" s="50"/>
      <c r="Q568" s="18"/>
      <c r="R568" s="18"/>
      <c r="S568" s="18"/>
      <c r="T568" s="18"/>
      <c r="U568" s="18"/>
      <c r="V568" s="18"/>
      <c r="W568" s="32"/>
      <c r="X568" s="18"/>
      <c r="Y568" s="18"/>
      <c r="Z568" s="32"/>
      <c r="AA568" s="18"/>
      <c r="AB568" s="18"/>
      <c r="AC568" s="18"/>
      <c r="AD568" s="33"/>
      <c r="AE568" s="32"/>
    </row>
    <row r="569" spans="14:31" x14ac:dyDescent="0.3">
      <c r="N569" s="11"/>
      <c r="P569" s="50"/>
      <c r="Q569" s="18"/>
      <c r="R569" s="18"/>
      <c r="S569" s="18"/>
      <c r="T569" s="18"/>
      <c r="U569" s="18"/>
      <c r="V569" s="18"/>
      <c r="W569" s="32"/>
      <c r="X569" s="18"/>
      <c r="Y569" s="18"/>
      <c r="Z569" s="32"/>
      <c r="AA569" s="18"/>
      <c r="AB569" s="18"/>
      <c r="AC569" s="18"/>
      <c r="AD569" s="33"/>
      <c r="AE569" s="32"/>
    </row>
    <row r="570" spans="14:31" x14ac:dyDescent="0.3">
      <c r="N570" s="11"/>
      <c r="P570" s="50"/>
      <c r="Q570" s="18"/>
      <c r="R570" s="18"/>
      <c r="S570" s="18"/>
      <c r="T570" s="18"/>
      <c r="U570" s="18"/>
      <c r="V570" s="18"/>
      <c r="W570" s="32"/>
      <c r="X570" s="18"/>
      <c r="Y570" s="18"/>
      <c r="Z570" s="32"/>
      <c r="AA570" s="18"/>
      <c r="AB570" s="18"/>
      <c r="AC570" s="18"/>
      <c r="AD570" s="33"/>
      <c r="AE570" s="32"/>
    </row>
    <row r="571" spans="14:31" x14ac:dyDescent="0.3">
      <c r="N571" s="11"/>
      <c r="P571" s="50"/>
      <c r="Q571" s="18"/>
      <c r="R571" s="18"/>
      <c r="S571" s="18"/>
      <c r="T571" s="18"/>
      <c r="U571" s="18"/>
      <c r="V571" s="18"/>
      <c r="W571" s="32"/>
      <c r="X571" s="18"/>
      <c r="Y571" s="18"/>
      <c r="Z571" s="32"/>
      <c r="AA571" s="18"/>
      <c r="AB571" s="18"/>
      <c r="AC571" s="18"/>
      <c r="AD571" s="33"/>
      <c r="AE571" s="32"/>
    </row>
    <row r="572" spans="14:31" x14ac:dyDescent="0.3">
      <c r="N572" s="11"/>
      <c r="P572" s="50"/>
      <c r="Q572" s="18"/>
      <c r="R572" s="18"/>
      <c r="S572" s="18"/>
      <c r="T572" s="18"/>
      <c r="U572" s="18"/>
      <c r="V572" s="18"/>
      <c r="W572" s="32"/>
      <c r="X572" s="18"/>
      <c r="Y572" s="18"/>
      <c r="Z572" s="32"/>
      <c r="AA572" s="18"/>
      <c r="AB572" s="18"/>
      <c r="AC572" s="18"/>
      <c r="AD572" s="33"/>
      <c r="AE572" s="32"/>
    </row>
    <row r="573" spans="14:31" x14ac:dyDescent="0.3">
      <c r="N573" s="11"/>
      <c r="P573" s="50"/>
      <c r="Q573" s="18"/>
      <c r="R573" s="18"/>
      <c r="S573" s="18"/>
      <c r="T573" s="18"/>
      <c r="U573" s="18"/>
      <c r="V573" s="18"/>
      <c r="W573" s="32"/>
      <c r="X573" s="18"/>
      <c r="Y573" s="18"/>
      <c r="Z573" s="32"/>
      <c r="AA573" s="18"/>
      <c r="AB573" s="18"/>
      <c r="AC573" s="18"/>
      <c r="AD573" s="33"/>
      <c r="AE573" s="32"/>
    </row>
    <row r="574" spans="14:31" x14ac:dyDescent="0.3">
      <c r="N574" s="11"/>
      <c r="P574" s="50"/>
      <c r="Q574" s="18"/>
      <c r="R574" s="18"/>
      <c r="S574" s="18"/>
      <c r="T574" s="18"/>
      <c r="U574" s="18"/>
      <c r="V574" s="18"/>
      <c r="W574" s="32"/>
      <c r="X574" s="18"/>
      <c r="Y574" s="18"/>
      <c r="Z574" s="32"/>
      <c r="AA574" s="18"/>
      <c r="AB574" s="18"/>
      <c r="AC574" s="18"/>
      <c r="AD574" s="33"/>
      <c r="AE574" s="32"/>
    </row>
    <row r="575" spans="14:31" x14ac:dyDescent="0.3">
      <c r="N575" s="11"/>
      <c r="P575" s="50"/>
      <c r="Q575" s="18"/>
      <c r="R575" s="18"/>
      <c r="S575" s="18"/>
      <c r="T575" s="18"/>
      <c r="U575" s="18"/>
      <c r="V575" s="18"/>
      <c r="W575" s="32"/>
      <c r="X575" s="18"/>
      <c r="Y575" s="18"/>
      <c r="Z575" s="32"/>
      <c r="AA575" s="18"/>
      <c r="AB575" s="18"/>
      <c r="AC575" s="18"/>
      <c r="AD575" s="33"/>
      <c r="AE575" s="32"/>
    </row>
    <row r="576" spans="14:31" x14ac:dyDescent="0.3">
      <c r="N576" s="11"/>
      <c r="P576" s="50"/>
      <c r="Q576" s="18"/>
      <c r="R576" s="18"/>
      <c r="S576" s="18"/>
      <c r="T576" s="18"/>
      <c r="U576" s="18"/>
      <c r="V576" s="18"/>
      <c r="W576" s="32"/>
      <c r="X576" s="18"/>
      <c r="Y576" s="18"/>
      <c r="Z576" s="32"/>
      <c r="AA576" s="18"/>
      <c r="AB576" s="18"/>
      <c r="AC576" s="18"/>
      <c r="AD576" s="33"/>
      <c r="AE576" s="32"/>
    </row>
    <row r="577" spans="14:31" x14ac:dyDescent="0.3">
      <c r="N577" s="11"/>
      <c r="P577" s="50"/>
      <c r="Q577" s="18"/>
      <c r="R577" s="18"/>
      <c r="S577" s="18"/>
      <c r="T577" s="18"/>
      <c r="U577" s="18"/>
      <c r="V577" s="18"/>
      <c r="W577" s="32"/>
      <c r="X577" s="18"/>
      <c r="Y577" s="18"/>
      <c r="Z577" s="32"/>
      <c r="AA577" s="18"/>
      <c r="AB577" s="18"/>
      <c r="AC577" s="18"/>
      <c r="AD577" s="33"/>
      <c r="AE577" s="32"/>
    </row>
    <row r="578" spans="14:31" x14ac:dyDescent="0.3">
      <c r="N578" s="11"/>
      <c r="P578" s="50"/>
      <c r="Q578" s="18"/>
      <c r="R578" s="18"/>
      <c r="S578" s="18"/>
      <c r="T578" s="18"/>
      <c r="U578" s="18"/>
      <c r="V578" s="18"/>
      <c r="W578" s="32"/>
      <c r="X578" s="18"/>
      <c r="Y578" s="18"/>
      <c r="Z578" s="32"/>
      <c r="AA578" s="18"/>
      <c r="AB578" s="18"/>
      <c r="AC578" s="18"/>
      <c r="AD578" s="33"/>
      <c r="AE578" s="32"/>
    </row>
    <row r="579" spans="14:31" x14ac:dyDescent="0.3">
      <c r="N579" s="11"/>
      <c r="P579" s="50"/>
      <c r="Q579" s="18"/>
      <c r="R579" s="18"/>
      <c r="S579" s="18"/>
      <c r="T579" s="18"/>
      <c r="U579" s="18"/>
      <c r="V579" s="18"/>
      <c r="W579" s="32"/>
      <c r="X579" s="18"/>
      <c r="Y579" s="18"/>
      <c r="Z579" s="32"/>
      <c r="AA579" s="18"/>
      <c r="AB579" s="18"/>
      <c r="AC579" s="18"/>
      <c r="AD579" s="33"/>
      <c r="AE579" s="32"/>
    </row>
    <row r="580" spans="14:31" x14ac:dyDescent="0.3">
      <c r="N580" s="11"/>
      <c r="P580" s="50"/>
      <c r="Q580" s="18"/>
      <c r="R580" s="18"/>
      <c r="S580" s="18"/>
      <c r="T580" s="18"/>
      <c r="U580" s="18"/>
      <c r="V580" s="18"/>
      <c r="W580" s="32"/>
      <c r="X580" s="18"/>
      <c r="Y580" s="18"/>
      <c r="Z580" s="32"/>
      <c r="AA580" s="18"/>
      <c r="AB580" s="18"/>
      <c r="AC580" s="18"/>
      <c r="AD580" s="33"/>
      <c r="AE580" s="32"/>
    </row>
    <row r="581" spans="14:31" x14ac:dyDescent="0.3">
      <c r="N581" s="11"/>
      <c r="P581" s="50"/>
      <c r="Q581" s="18"/>
      <c r="R581" s="18"/>
      <c r="S581" s="18"/>
      <c r="T581" s="18"/>
      <c r="U581" s="18"/>
      <c r="V581" s="18"/>
      <c r="W581" s="32"/>
      <c r="X581" s="18"/>
      <c r="Y581" s="18"/>
      <c r="Z581" s="32"/>
      <c r="AA581" s="18"/>
      <c r="AB581" s="18"/>
      <c r="AC581" s="18"/>
      <c r="AD581" s="33"/>
      <c r="AE581" s="32"/>
    </row>
    <row r="582" spans="14:31" x14ac:dyDescent="0.3">
      <c r="N582" s="11"/>
      <c r="P582" s="50"/>
      <c r="Q582" s="18"/>
      <c r="R582" s="18"/>
      <c r="S582" s="18"/>
      <c r="T582" s="18"/>
      <c r="U582" s="18"/>
      <c r="V582" s="18"/>
      <c r="W582" s="32"/>
      <c r="X582" s="18"/>
      <c r="Y582" s="18"/>
      <c r="Z582" s="32"/>
      <c r="AA582" s="18"/>
      <c r="AB582" s="18"/>
      <c r="AC582" s="18"/>
      <c r="AD582" s="33"/>
      <c r="AE582" s="32"/>
    </row>
    <row r="583" spans="14:31" x14ac:dyDescent="0.3">
      <c r="N583" s="11"/>
      <c r="P583" s="50"/>
      <c r="Q583" s="18"/>
      <c r="R583" s="18"/>
      <c r="S583" s="18"/>
      <c r="T583" s="18"/>
      <c r="U583" s="18"/>
      <c r="V583" s="18"/>
      <c r="W583" s="32"/>
      <c r="X583" s="18"/>
      <c r="Y583" s="18"/>
      <c r="Z583" s="32"/>
      <c r="AA583" s="18"/>
      <c r="AB583" s="18"/>
      <c r="AC583" s="18"/>
      <c r="AD583" s="33"/>
      <c r="AE583" s="32"/>
    </row>
    <row r="584" spans="14:31" x14ac:dyDescent="0.3">
      <c r="N584" s="11"/>
      <c r="P584" s="50"/>
      <c r="Q584" s="18"/>
      <c r="R584" s="18"/>
      <c r="S584" s="18"/>
      <c r="T584" s="18"/>
      <c r="U584" s="18"/>
      <c r="V584" s="18"/>
      <c r="W584" s="32"/>
      <c r="X584" s="18"/>
      <c r="Y584" s="18"/>
      <c r="Z584" s="32"/>
      <c r="AA584" s="18"/>
      <c r="AB584" s="18"/>
      <c r="AC584" s="18"/>
      <c r="AD584" s="33"/>
      <c r="AE584" s="32"/>
    </row>
    <row r="585" spans="14:31" x14ac:dyDescent="0.3">
      <c r="N585" s="11"/>
      <c r="P585" s="50"/>
      <c r="Q585" s="18"/>
      <c r="R585" s="18"/>
      <c r="S585" s="18"/>
      <c r="T585" s="18"/>
      <c r="U585" s="18"/>
      <c r="V585" s="18"/>
      <c r="W585" s="32"/>
      <c r="X585" s="18"/>
      <c r="Y585" s="18"/>
      <c r="Z585" s="32"/>
      <c r="AA585" s="18"/>
      <c r="AB585" s="18"/>
      <c r="AC585" s="18"/>
      <c r="AD585" s="33"/>
      <c r="AE585" s="32"/>
    </row>
    <row r="586" spans="14:31" x14ac:dyDescent="0.3">
      <c r="N586" s="11"/>
      <c r="P586" s="50"/>
      <c r="Q586" s="18"/>
      <c r="R586" s="18"/>
      <c r="S586" s="18"/>
      <c r="T586" s="18"/>
      <c r="U586" s="18"/>
      <c r="V586" s="18"/>
      <c r="W586" s="32"/>
      <c r="X586" s="18"/>
      <c r="Y586" s="18"/>
      <c r="Z586" s="32"/>
      <c r="AA586" s="18"/>
      <c r="AB586" s="18"/>
      <c r="AC586" s="18"/>
      <c r="AD586" s="33"/>
      <c r="AE586" s="32"/>
    </row>
    <row r="587" spans="14:31" x14ac:dyDescent="0.3">
      <c r="N587" s="11"/>
      <c r="P587" s="50"/>
      <c r="Q587" s="18"/>
      <c r="R587" s="18"/>
      <c r="S587" s="18"/>
      <c r="T587" s="18"/>
      <c r="U587" s="18"/>
      <c r="V587" s="18"/>
      <c r="W587" s="32"/>
      <c r="X587" s="18"/>
      <c r="Y587" s="18"/>
      <c r="Z587" s="32"/>
      <c r="AA587" s="18"/>
      <c r="AB587" s="18"/>
      <c r="AC587" s="18"/>
      <c r="AD587" s="33"/>
      <c r="AE587" s="32"/>
    </row>
    <row r="588" spans="14:31" x14ac:dyDescent="0.3">
      <c r="N588" s="11"/>
      <c r="P588" s="50"/>
      <c r="Q588" s="18"/>
      <c r="R588" s="18"/>
      <c r="S588" s="18"/>
      <c r="T588" s="18"/>
      <c r="U588" s="18"/>
      <c r="V588" s="18"/>
      <c r="W588" s="32"/>
      <c r="X588" s="18"/>
      <c r="Y588" s="18"/>
      <c r="Z588" s="32"/>
      <c r="AA588" s="18"/>
      <c r="AB588" s="18"/>
      <c r="AC588" s="18"/>
      <c r="AD588" s="33"/>
      <c r="AE588" s="32"/>
    </row>
    <row r="589" spans="14:31" x14ac:dyDescent="0.3">
      <c r="N589" s="11"/>
      <c r="P589" s="50"/>
      <c r="Q589" s="18"/>
      <c r="R589" s="18"/>
      <c r="S589" s="18"/>
      <c r="T589" s="18"/>
      <c r="U589" s="18"/>
      <c r="V589" s="18"/>
      <c r="W589" s="32"/>
      <c r="X589" s="18"/>
      <c r="Y589" s="18"/>
      <c r="Z589" s="32"/>
      <c r="AA589" s="18"/>
      <c r="AB589" s="18"/>
      <c r="AC589" s="18"/>
      <c r="AD589" s="33"/>
      <c r="AE589" s="32"/>
    </row>
    <row r="590" spans="14:31" x14ac:dyDescent="0.3">
      <c r="N590" s="11"/>
      <c r="P590" s="50"/>
      <c r="Q590" s="18"/>
      <c r="R590" s="18"/>
      <c r="S590" s="18"/>
      <c r="T590" s="18"/>
      <c r="U590" s="18"/>
      <c r="V590" s="18"/>
      <c r="W590" s="32"/>
      <c r="X590" s="18"/>
      <c r="Y590" s="18"/>
      <c r="Z590" s="32"/>
      <c r="AA590" s="18"/>
      <c r="AB590" s="18"/>
      <c r="AC590" s="18"/>
      <c r="AD590" s="33"/>
      <c r="AE590" s="32"/>
    </row>
    <row r="591" spans="14:31" x14ac:dyDescent="0.3">
      <c r="N591" s="11"/>
      <c r="P591" s="50"/>
      <c r="Q591" s="18"/>
      <c r="R591" s="18"/>
      <c r="S591" s="18"/>
      <c r="T591" s="18"/>
      <c r="U591" s="18"/>
      <c r="V591" s="18"/>
      <c r="W591" s="32"/>
      <c r="X591" s="18"/>
      <c r="Y591" s="18"/>
      <c r="Z591" s="32"/>
      <c r="AA591" s="18"/>
      <c r="AB591" s="18"/>
      <c r="AC591" s="18"/>
      <c r="AD591" s="33"/>
      <c r="AE591" s="32"/>
    </row>
    <row r="592" spans="14:31" x14ac:dyDescent="0.3">
      <c r="N592" s="11"/>
      <c r="P592" s="50"/>
      <c r="Q592" s="18"/>
      <c r="R592" s="18"/>
      <c r="S592" s="18"/>
      <c r="T592" s="18"/>
      <c r="U592" s="18"/>
      <c r="V592" s="18"/>
      <c r="W592" s="32"/>
      <c r="X592" s="18"/>
      <c r="Y592" s="18"/>
      <c r="Z592" s="32"/>
      <c r="AA592" s="18"/>
      <c r="AB592" s="18"/>
      <c r="AC592" s="18"/>
      <c r="AD592" s="33"/>
      <c r="AE592" s="32"/>
    </row>
    <row r="593" spans="14:31" x14ac:dyDescent="0.3">
      <c r="N593" s="11"/>
      <c r="P593" s="50"/>
      <c r="Q593" s="18"/>
      <c r="R593" s="18"/>
      <c r="S593" s="18"/>
      <c r="T593" s="18"/>
      <c r="U593" s="18"/>
      <c r="V593" s="18"/>
      <c r="W593" s="32"/>
      <c r="X593" s="18"/>
      <c r="Y593" s="18"/>
      <c r="Z593" s="32"/>
      <c r="AA593" s="18"/>
      <c r="AB593" s="18"/>
      <c r="AC593" s="18"/>
      <c r="AD593" s="33"/>
      <c r="AE593" s="32"/>
    </row>
    <row r="594" spans="14:31" x14ac:dyDescent="0.3">
      <c r="N594" s="11"/>
      <c r="P594" s="50"/>
      <c r="Q594" s="18"/>
      <c r="R594" s="18"/>
      <c r="S594" s="18"/>
      <c r="T594" s="18"/>
      <c r="U594" s="18"/>
      <c r="V594" s="18"/>
      <c r="W594" s="32"/>
      <c r="X594" s="18"/>
      <c r="Y594" s="18"/>
      <c r="Z594" s="32"/>
      <c r="AA594" s="18"/>
      <c r="AB594" s="18"/>
      <c r="AC594" s="18"/>
      <c r="AD594" s="33"/>
      <c r="AE594" s="32"/>
    </row>
    <row r="595" spans="14:31" x14ac:dyDescent="0.3">
      <c r="N595" s="11"/>
      <c r="P595" s="50"/>
      <c r="Q595" s="18"/>
      <c r="R595" s="18"/>
      <c r="S595" s="18"/>
      <c r="T595" s="18"/>
      <c r="U595" s="18"/>
      <c r="V595" s="18"/>
      <c r="W595" s="32"/>
      <c r="X595" s="18"/>
      <c r="Y595" s="18"/>
      <c r="Z595" s="32"/>
      <c r="AA595" s="18"/>
      <c r="AB595" s="18"/>
      <c r="AC595" s="18"/>
      <c r="AD595" s="33"/>
      <c r="AE595" s="32"/>
    </row>
    <row r="596" spans="14:31" x14ac:dyDescent="0.3">
      <c r="N596" s="11"/>
      <c r="P596" s="50"/>
      <c r="Q596" s="18"/>
      <c r="R596" s="18"/>
      <c r="S596" s="18"/>
      <c r="T596" s="18"/>
      <c r="U596" s="18"/>
      <c r="V596" s="18"/>
      <c r="W596" s="32"/>
      <c r="X596" s="18"/>
      <c r="Y596" s="18"/>
      <c r="Z596" s="32"/>
      <c r="AA596" s="18"/>
      <c r="AB596" s="18"/>
      <c r="AC596" s="18"/>
      <c r="AD596" s="33"/>
      <c r="AE596" s="32"/>
    </row>
    <row r="597" spans="14:31" x14ac:dyDescent="0.3">
      <c r="N597" s="11"/>
      <c r="P597" s="50"/>
      <c r="Q597" s="18"/>
      <c r="R597" s="18"/>
      <c r="S597" s="18"/>
      <c r="T597" s="18"/>
      <c r="U597" s="18"/>
      <c r="V597" s="18"/>
      <c r="W597" s="32"/>
      <c r="X597" s="18"/>
      <c r="Y597" s="18"/>
      <c r="Z597" s="32"/>
      <c r="AA597" s="18"/>
      <c r="AB597" s="18"/>
      <c r="AC597" s="18"/>
      <c r="AD597" s="33"/>
      <c r="AE597" s="32"/>
    </row>
    <row r="598" spans="14:31" x14ac:dyDescent="0.3">
      <c r="N598" s="11"/>
      <c r="P598" s="50"/>
      <c r="Q598" s="18"/>
      <c r="R598" s="18"/>
      <c r="S598" s="18"/>
      <c r="T598" s="18"/>
      <c r="U598" s="18"/>
      <c r="V598" s="18"/>
      <c r="W598" s="32"/>
      <c r="X598" s="18"/>
      <c r="Y598" s="18"/>
      <c r="Z598" s="32"/>
      <c r="AA598" s="18"/>
      <c r="AB598" s="18"/>
      <c r="AC598" s="18"/>
      <c r="AD598" s="33"/>
      <c r="AE598" s="32"/>
    </row>
    <row r="599" spans="14:31" x14ac:dyDescent="0.3">
      <c r="N599" s="11"/>
      <c r="P599" s="50"/>
      <c r="Q599" s="18"/>
      <c r="R599" s="18"/>
      <c r="S599" s="18"/>
      <c r="T599" s="18"/>
      <c r="U599" s="18"/>
      <c r="V599" s="18"/>
      <c r="W599" s="32"/>
      <c r="X599" s="18"/>
      <c r="Y599" s="18"/>
      <c r="Z599" s="32"/>
      <c r="AA599" s="18"/>
      <c r="AB599" s="18"/>
      <c r="AC599" s="18"/>
      <c r="AD599" s="33"/>
      <c r="AE599" s="32"/>
    </row>
    <row r="600" spans="14:31" x14ac:dyDescent="0.3">
      <c r="N600" s="11"/>
      <c r="P600" s="50"/>
      <c r="Q600" s="18"/>
      <c r="R600" s="18"/>
      <c r="S600" s="18"/>
      <c r="T600" s="18"/>
      <c r="U600" s="18"/>
      <c r="V600" s="18"/>
      <c r="W600" s="32"/>
      <c r="X600" s="18"/>
      <c r="Y600" s="18"/>
      <c r="Z600" s="32"/>
      <c r="AA600" s="18"/>
      <c r="AB600" s="18"/>
      <c r="AC600" s="18"/>
      <c r="AD600" s="33"/>
      <c r="AE600" s="32"/>
    </row>
    <row r="601" spans="14:31" x14ac:dyDescent="0.3">
      <c r="N601" s="11"/>
      <c r="P601" s="50"/>
      <c r="Q601" s="18"/>
      <c r="R601" s="18"/>
      <c r="S601" s="18"/>
      <c r="T601" s="18"/>
      <c r="U601" s="18"/>
      <c r="V601" s="18"/>
      <c r="W601" s="32"/>
      <c r="X601" s="18"/>
      <c r="Y601" s="18"/>
      <c r="Z601" s="32"/>
      <c r="AA601" s="18"/>
      <c r="AB601" s="18"/>
      <c r="AC601" s="18"/>
      <c r="AD601" s="33"/>
      <c r="AE601" s="32"/>
    </row>
    <row r="602" spans="14:31" x14ac:dyDescent="0.3">
      <c r="N602" s="11"/>
      <c r="P602" s="50"/>
      <c r="Q602" s="18"/>
      <c r="R602" s="18"/>
      <c r="S602" s="18"/>
      <c r="T602" s="18"/>
      <c r="U602" s="18"/>
      <c r="V602" s="18"/>
      <c r="W602" s="32"/>
      <c r="X602" s="18"/>
      <c r="Y602" s="18"/>
      <c r="Z602" s="32"/>
      <c r="AA602" s="18"/>
      <c r="AB602" s="18"/>
      <c r="AC602" s="18"/>
      <c r="AD602" s="33"/>
      <c r="AE602" s="32"/>
    </row>
    <row r="603" spans="14:31" x14ac:dyDescent="0.3">
      <c r="N603" s="11"/>
      <c r="P603" s="50"/>
      <c r="Q603" s="18"/>
      <c r="R603" s="18"/>
      <c r="S603" s="18"/>
      <c r="T603" s="18"/>
      <c r="U603" s="18"/>
      <c r="V603" s="18"/>
      <c r="W603" s="32"/>
      <c r="X603" s="18"/>
      <c r="Y603" s="18"/>
      <c r="Z603" s="32"/>
      <c r="AA603" s="18"/>
      <c r="AB603" s="18"/>
      <c r="AC603" s="18"/>
      <c r="AD603" s="33"/>
      <c r="AE603" s="32"/>
    </row>
    <row r="604" spans="14:31" x14ac:dyDescent="0.3">
      <c r="N604" s="11"/>
      <c r="P604" s="50"/>
      <c r="Q604" s="18"/>
      <c r="R604" s="18"/>
      <c r="S604" s="18"/>
      <c r="T604" s="18"/>
      <c r="U604" s="18"/>
      <c r="V604" s="18"/>
      <c r="W604" s="32"/>
      <c r="X604" s="18"/>
      <c r="Y604" s="18"/>
      <c r="Z604" s="32"/>
      <c r="AA604" s="18"/>
      <c r="AB604" s="18"/>
      <c r="AC604" s="18"/>
      <c r="AD604" s="33"/>
      <c r="AE604" s="32"/>
    </row>
    <row r="605" spans="14:31" x14ac:dyDescent="0.3">
      <c r="N605" s="11"/>
      <c r="P605" s="50"/>
      <c r="Q605" s="18"/>
      <c r="R605" s="18"/>
      <c r="S605" s="18"/>
      <c r="T605" s="18"/>
      <c r="U605" s="18"/>
      <c r="V605" s="18"/>
      <c r="W605" s="32"/>
      <c r="X605" s="18"/>
      <c r="Y605" s="18"/>
      <c r="Z605" s="32"/>
      <c r="AA605" s="18"/>
      <c r="AB605" s="18"/>
      <c r="AC605" s="18"/>
      <c r="AD605" s="33"/>
      <c r="AE605" s="32"/>
    </row>
    <row r="606" spans="14:31" x14ac:dyDescent="0.3">
      <c r="N606" s="11"/>
      <c r="P606" s="50"/>
      <c r="Q606" s="18"/>
      <c r="R606" s="18"/>
      <c r="S606" s="18"/>
      <c r="T606" s="18"/>
      <c r="U606" s="18"/>
      <c r="V606" s="18"/>
      <c r="W606" s="32"/>
      <c r="X606" s="18"/>
      <c r="Y606" s="18"/>
      <c r="Z606" s="32"/>
      <c r="AA606" s="18"/>
      <c r="AB606" s="18"/>
      <c r="AC606" s="18"/>
      <c r="AD606" s="33"/>
      <c r="AE606" s="32"/>
    </row>
    <row r="607" spans="14:31" x14ac:dyDescent="0.3">
      <c r="N607" s="11"/>
      <c r="P607" s="50"/>
      <c r="Q607" s="18"/>
      <c r="R607" s="18"/>
      <c r="S607" s="18"/>
      <c r="T607" s="18"/>
      <c r="U607" s="18"/>
      <c r="V607" s="18"/>
      <c r="W607" s="32"/>
      <c r="X607" s="18"/>
      <c r="Y607" s="18"/>
      <c r="Z607" s="32"/>
      <c r="AA607" s="18"/>
      <c r="AB607" s="18"/>
      <c r="AC607" s="18"/>
      <c r="AD607" s="33"/>
      <c r="AE607" s="32"/>
    </row>
    <row r="608" spans="14:31" x14ac:dyDescent="0.3">
      <c r="N608" s="11"/>
      <c r="P608" s="50"/>
      <c r="Q608" s="18"/>
      <c r="R608" s="18"/>
      <c r="S608" s="18"/>
      <c r="T608" s="18"/>
      <c r="U608" s="18"/>
      <c r="V608" s="18"/>
      <c r="W608" s="32"/>
      <c r="X608" s="18"/>
      <c r="Y608" s="18"/>
      <c r="Z608" s="32"/>
      <c r="AA608" s="18"/>
      <c r="AB608" s="18"/>
      <c r="AC608" s="18"/>
      <c r="AD608" s="33"/>
      <c r="AE608" s="32"/>
    </row>
    <row r="609" spans="14:31" x14ac:dyDescent="0.3">
      <c r="N609" s="11"/>
      <c r="P609" s="50"/>
      <c r="Q609" s="18"/>
      <c r="R609" s="18"/>
      <c r="S609" s="18"/>
      <c r="T609" s="18"/>
      <c r="U609" s="18"/>
      <c r="V609" s="18"/>
      <c r="W609" s="32"/>
      <c r="X609" s="18"/>
      <c r="Y609" s="18"/>
      <c r="Z609" s="32"/>
      <c r="AA609" s="18"/>
      <c r="AB609" s="18"/>
      <c r="AC609" s="18"/>
      <c r="AD609" s="33"/>
      <c r="AE609" s="32"/>
    </row>
    <row r="610" spans="14:31" x14ac:dyDescent="0.3">
      <c r="N610" s="11"/>
      <c r="P610" s="50"/>
      <c r="Q610" s="18"/>
      <c r="R610" s="18"/>
      <c r="S610" s="18"/>
      <c r="T610" s="18"/>
      <c r="U610" s="18"/>
      <c r="V610" s="18"/>
      <c r="W610" s="32"/>
      <c r="X610" s="18"/>
      <c r="Y610" s="18"/>
      <c r="Z610" s="32"/>
      <c r="AA610" s="18"/>
      <c r="AB610" s="18"/>
      <c r="AC610" s="18"/>
      <c r="AD610" s="33"/>
      <c r="AE610" s="32"/>
    </row>
    <row r="611" spans="14:31" x14ac:dyDescent="0.3">
      <c r="N611" s="11"/>
      <c r="P611" s="50"/>
      <c r="Q611" s="18"/>
      <c r="R611" s="18"/>
      <c r="S611" s="18"/>
      <c r="T611" s="18"/>
      <c r="U611" s="18"/>
      <c r="V611" s="18"/>
      <c r="W611" s="32"/>
      <c r="X611" s="18"/>
      <c r="Y611" s="18"/>
      <c r="Z611" s="32"/>
      <c r="AA611" s="18"/>
      <c r="AB611" s="18"/>
      <c r="AC611" s="18"/>
      <c r="AD611" s="33"/>
      <c r="AE611" s="32"/>
    </row>
    <row r="612" spans="14:31" x14ac:dyDescent="0.3">
      <c r="N612" s="11"/>
      <c r="P612" s="50"/>
      <c r="Q612" s="18"/>
      <c r="R612" s="18"/>
      <c r="S612" s="18"/>
      <c r="T612" s="18"/>
      <c r="U612" s="18"/>
      <c r="V612" s="18"/>
      <c r="W612" s="32"/>
      <c r="X612" s="18"/>
      <c r="Y612" s="18"/>
      <c r="Z612" s="32"/>
      <c r="AA612" s="18"/>
      <c r="AB612" s="18"/>
      <c r="AC612" s="18"/>
      <c r="AD612" s="33"/>
      <c r="AE612" s="32"/>
    </row>
    <row r="613" spans="14:31" x14ac:dyDescent="0.3">
      <c r="N613" s="11"/>
      <c r="P613" s="50"/>
      <c r="Q613" s="18"/>
      <c r="R613" s="18"/>
      <c r="S613" s="18"/>
      <c r="T613" s="18"/>
      <c r="U613" s="18"/>
      <c r="V613" s="18"/>
      <c r="W613" s="32"/>
      <c r="X613" s="18"/>
      <c r="Y613" s="18"/>
      <c r="Z613" s="32"/>
      <c r="AA613" s="18"/>
      <c r="AB613" s="18"/>
      <c r="AC613" s="18"/>
      <c r="AD613" s="33"/>
      <c r="AE613" s="32"/>
    </row>
    <row r="614" spans="14:31" x14ac:dyDescent="0.3">
      <c r="N614" s="11"/>
      <c r="P614" s="50"/>
      <c r="Q614" s="18"/>
      <c r="R614" s="18"/>
      <c r="S614" s="18"/>
      <c r="T614" s="18"/>
      <c r="U614" s="18"/>
      <c r="V614" s="18"/>
      <c r="W614" s="32"/>
      <c r="X614" s="18"/>
      <c r="Y614" s="18"/>
      <c r="Z614" s="32"/>
      <c r="AA614" s="18"/>
      <c r="AB614" s="18"/>
      <c r="AC614" s="18"/>
      <c r="AD614" s="33"/>
      <c r="AE614" s="32"/>
    </row>
    <row r="615" spans="14:31" x14ac:dyDescent="0.3">
      <c r="N615" s="11"/>
      <c r="P615" s="50"/>
      <c r="Q615" s="18"/>
      <c r="R615" s="18"/>
      <c r="S615" s="18"/>
      <c r="T615" s="18"/>
      <c r="U615" s="18"/>
      <c r="V615" s="18"/>
      <c r="W615" s="32"/>
      <c r="X615" s="18"/>
      <c r="Y615" s="18"/>
      <c r="Z615" s="32"/>
      <c r="AA615" s="18"/>
      <c r="AB615" s="18"/>
      <c r="AC615" s="18"/>
      <c r="AD615" s="33"/>
      <c r="AE615" s="32"/>
    </row>
    <row r="616" spans="14:31" x14ac:dyDescent="0.3">
      <c r="N616" s="11"/>
      <c r="P616" s="50"/>
      <c r="Q616" s="18"/>
      <c r="R616" s="18"/>
      <c r="S616" s="18"/>
      <c r="T616" s="18"/>
      <c r="U616" s="18"/>
      <c r="V616" s="18"/>
      <c r="W616" s="32"/>
      <c r="X616" s="18"/>
      <c r="Y616" s="18"/>
      <c r="Z616" s="32"/>
      <c r="AA616" s="18"/>
      <c r="AB616" s="18"/>
      <c r="AC616" s="18"/>
      <c r="AD616" s="33"/>
      <c r="AE616" s="32"/>
    </row>
    <row r="617" spans="14:31" x14ac:dyDescent="0.3">
      <c r="N617" s="11"/>
      <c r="P617" s="50"/>
      <c r="Q617" s="18"/>
      <c r="R617" s="18"/>
      <c r="S617" s="18"/>
      <c r="T617" s="18"/>
      <c r="U617" s="18"/>
      <c r="V617" s="18"/>
      <c r="W617" s="32"/>
      <c r="X617" s="18"/>
      <c r="Y617" s="18"/>
      <c r="Z617" s="32"/>
      <c r="AA617" s="18"/>
      <c r="AB617" s="18"/>
      <c r="AC617" s="18"/>
      <c r="AD617" s="33"/>
      <c r="AE617" s="32"/>
    </row>
    <row r="618" spans="14:31" x14ac:dyDescent="0.3">
      <c r="N618" s="11"/>
      <c r="P618" s="50"/>
      <c r="Q618" s="18"/>
      <c r="R618" s="18"/>
      <c r="S618" s="18"/>
      <c r="T618" s="18"/>
      <c r="U618" s="18"/>
      <c r="V618" s="18"/>
      <c r="W618" s="32"/>
      <c r="X618" s="18"/>
      <c r="Y618" s="18"/>
      <c r="Z618" s="32"/>
      <c r="AA618" s="18"/>
      <c r="AB618" s="18"/>
      <c r="AC618" s="18"/>
      <c r="AD618" s="33"/>
      <c r="AE618" s="32"/>
    </row>
    <row r="619" spans="14:31" x14ac:dyDescent="0.3">
      <c r="N619" s="11"/>
      <c r="P619" s="50"/>
      <c r="Q619" s="18"/>
      <c r="R619" s="18"/>
      <c r="S619" s="18"/>
      <c r="T619" s="18"/>
      <c r="U619" s="18"/>
      <c r="V619" s="18"/>
      <c r="W619" s="32"/>
      <c r="X619" s="18"/>
      <c r="Y619" s="18"/>
      <c r="Z619" s="32"/>
      <c r="AA619" s="18"/>
      <c r="AB619" s="18"/>
      <c r="AC619" s="18"/>
      <c r="AD619" s="33"/>
      <c r="AE619" s="32"/>
    </row>
    <row r="620" spans="14:31" x14ac:dyDescent="0.3">
      <c r="N620" s="11"/>
      <c r="P620" s="50"/>
      <c r="Q620" s="18"/>
      <c r="R620" s="18"/>
      <c r="S620" s="18"/>
      <c r="T620" s="18"/>
      <c r="U620" s="18"/>
      <c r="V620" s="18"/>
      <c r="W620" s="32"/>
      <c r="X620" s="18"/>
      <c r="Y620" s="18"/>
      <c r="Z620" s="32"/>
      <c r="AA620" s="18"/>
      <c r="AB620" s="18"/>
      <c r="AC620" s="18"/>
      <c r="AD620" s="33"/>
      <c r="AE620" s="32"/>
    </row>
    <row r="621" spans="14:31" x14ac:dyDescent="0.3">
      <c r="N621" s="11"/>
      <c r="P621" s="50"/>
      <c r="Q621" s="18"/>
      <c r="R621" s="18"/>
      <c r="S621" s="18"/>
      <c r="T621" s="18"/>
      <c r="U621" s="18"/>
      <c r="V621" s="18"/>
      <c r="W621" s="32"/>
      <c r="X621" s="18"/>
      <c r="Y621" s="18"/>
      <c r="Z621" s="32"/>
      <c r="AA621" s="18"/>
      <c r="AB621" s="18"/>
      <c r="AC621" s="18"/>
      <c r="AD621" s="33"/>
      <c r="AE621" s="32"/>
    </row>
    <row r="622" spans="14:31" x14ac:dyDescent="0.3">
      <c r="N622" s="11"/>
      <c r="P622" s="50"/>
      <c r="Q622" s="18"/>
      <c r="R622" s="18"/>
      <c r="S622" s="18"/>
      <c r="T622" s="18"/>
      <c r="U622" s="18"/>
      <c r="V622" s="18"/>
      <c r="W622" s="32"/>
      <c r="X622" s="18"/>
      <c r="Y622" s="18"/>
      <c r="Z622" s="32"/>
      <c r="AA622" s="18"/>
      <c r="AB622" s="18"/>
      <c r="AC622" s="18"/>
      <c r="AD622" s="33"/>
      <c r="AE622" s="32"/>
    </row>
    <row r="623" spans="14:31" x14ac:dyDescent="0.3">
      <c r="N623" s="11"/>
      <c r="P623" s="50"/>
      <c r="Q623" s="18"/>
      <c r="R623" s="18"/>
      <c r="S623" s="18"/>
      <c r="T623" s="18"/>
      <c r="U623" s="18"/>
      <c r="V623" s="18"/>
      <c r="W623" s="32"/>
      <c r="X623" s="18"/>
      <c r="Y623" s="18"/>
      <c r="Z623" s="32"/>
      <c r="AA623" s="18"/>
      <c r="AB623" s="18"/>
      <c r="AC623" s="18"/>
      <c r="AD623" s="33"/>
      <c r="AE623" s="32"/>
    </row>
    <row r="624" spans="14:31" x14ac:dyDescent="0.3">
      <c r="N624" s="11"/>
      <c r="P624" s="50"/>
      <c r="Q624" s="18"/>
      <c r="R624" s="18"/>
      <c r="S624" s="18"/>
      <c r="T624" s="18"/>
      <c r="U624" s="18"/>
      <c r="V624" s="18"/>
      <c r="W624" s="32"/>
      <c r="X624" s="18"/>
      <c r="Y624" s="18"/>
      <c r="Z624" s="32"/>
      <c r="AA624" s="18"/>
      <c r="AB624" s="18"/>
      <c r="AC624" s="18"/>
      <c r="AD624" s="33"/>
      <c r="AE624" s="32"/>
    </row>
    <row r="625" spans="14:31" x14ac:dyDescent="0.3">
      <c r="N625" s="11"/>
      <c r="P625" s="50"/>
      <c r="Q625" s="18"/>
      <c r="R625" s="18"/>
      <c r="S625" s="18"/>
      <c r="T625" s="18"/>
      <c r="U625" s="18"/>
      <c r="V625" s="18"/>
      <c r="W625" s="32"/>
      <c r="X625" s="18"/>
      <c r="Y625" s="18"/>
      <c r="Z625" s="32"/>
      <c r="AA625" s="18"/>
      <c r="AB625" s="18"/>
      <c r="AC625" s="18"/>
      <c r="AD625" s="33"/>
      <c r="AE625" s="32"/>
    </row>
    <row r="626" spans="14:31" x14ac:dyDescent="0.3">
      <c r="N626" s="11"/>
      <c r="P626" s="50"/>
      <c r="Q626" s="18"/>
      <c r="R626" s="18"/>
      <c r="S626" s="18"/>
      <c r="T626" s="18"/>
      <c r="U626" s="18"/>
      <c r="V626" s="18"/>
      <c r="W626" s="32"/>
      <c r="X626" s="18"/>
      <c r="Y626" s="18"/>
      <c r="Z626" s="32"/>
      <c r="AA626" s="18"/>
      <c r="AB626" s="18"/>
      <c r="AC626" s="18"/>
      <c r="AD626" s="33"/>
      <c r="AE626" s="32"/>
    </row>
    <row r="627" spans="14:31" x14ac:dyDescent="0.3">
      <c r="N627" s="11"/>
      <c r="P627" s="50"/>
      <c r="Q627" s="18"/>
      <c r="R627" s="18"/>
      <c r="S627" s="18"/>
      <c r="T627" s="18"/>
      <c r="U627" s="18"/>
      <c r="V627" s="18"/>
      <c r="W627" s="32"/>
      <c r="X627" s="18"/>
      <c r="Y627" s="18"/>
      <c r="Z627" s="32"/>
      <c r="AA627" s="18"/>
      <c r="AB627" s="18"/>
      <c r="AC627" s="18"/>
      <c r="AD627" s="33"/>
      <c r="AE627" s="32"/>
    </row>
    <row r="628" spans="14:31" x14ac:dyDescent="0.3">
      <c r="N628" s="11"/>
      <c r="P628" s="50"/>
      <c r="Q628" s="18"/>
      <c r="R628" s="18"/>
      <c r="S628" s="18"/>
      <c r="T628" s="18"/>
      <c r="U628" s="18"/>
      <c r="V628" s="18"/>
      <c r="W628" s="32"/>
      <c r="X628" s="18"/>
      <c r="Y628" s="18"/>
      <c r="Z628" s="32"/>
      <c r="AA628" s="18"/>
      <c r="AB628" s="18"/>
      <c r="AC628" s="18"/>
      <c r="AD628" s="33"/>
      <c r="AE628" s="32"/>
    </row>
    <row r="629" spans="14:31" x14ac:dyDescent="0.3">
      <c r="N629" s="11"/>
      <c r="P629" s="50"/>
      <c r="Q629" s="18"/>
      <c r="R629" s="18"/>
      <c r="S629" s="18"/>
      <c r="T629" s="18"/>
      <c r="U629" s="18"/>
      <c r="V629" s="18"/>
      <c r="W629" s="32"/>
      <c r="X629" s="18"/>
      <c r="Y629" s="18"/>
      <c r="Z629" s="32"/>
      <c r="AA629" s="18"/>
      <c r="AB629" s="18"/>
      <c r="AC629" s="18"/>
      <c r="AD629" s="33"/>
      <c r="AE629" s="32"/>
    </row>
    <row r="630" spans="14:31" x14ac:dyDescent="0.3">
      <c r="N630" s="11"/>
      <c r="P630" s="50"/>
      <c r="Q630" s="18"/>
      <c r="R630" s="18"/>
      <c r="S630" s="18"/>
      <c r="T630" s="18"/>
      <c r="U630" s="18"/>
      <c r="V630" s="18"/>
      <c r="W630" s="32"/>
      <c r="X630" s="18"/>
      <c r="Y630" s="18"/>
      <c r="Z630" s="32"/>
      <c r="AA630" s="18"/>
      <c r="AB630" s="18"/>
      <c r="AC630" s="18"/>
      <c r="AD630" s="33"/>
      <c r="AE630" s="32"/>
    </row>
    <row r="631" spans="14:31" x14ac:dyDescent="0.3">
      <c r="N631" s="11"/>
      <c r="P631" s="50"/>
      <c r="Q631" s="18"/>
      <c r="R631" s="18"/>
      <c r="S631" s="18"/>
      <c r="T631" s="18"/>
      <c r="U631" s="18"/>
      <c r="V631" s="18"/>
      <c r="W631" s="32"/>
      <c r="X631" s="18"/>
      <c r="Y631" s="18"/>
      <c r="Z631" s="32"/>
      <c r="AA631" s="18"/>
      <c r="AB631" s="18"/>
      <c r="AC631" s="18"/>
      <c r="AD631" s="33"/>
      <c r="AE631" s="32"/>
    </row>
    <row r="632" spans="14:31" x14ac:dyDescent="0.3">
      <c r="N632" s="11"/>
      <c r="P632" s="50"/>
      <c r="Q632" s="18"/>
      <c r="R632" s="18"/>
      <c r="S632" s="18"/>
      <c r="T632" s="18"/>
      <c r="U632" s="18"/>
      <c r="V632" s="18"/>
      <c r="W632" s="32"/>
      <c r="X632" s="18"/>
      <c r="Y632" s="18"/>
      <c r="Z632" s="32"/>
      <c r="AA632" s="18"/>
      <c r="AB632" s="18"/>
      <c r="AC632" s="18"/>
      <c r="AD632" s="33"/>
      <c r="AE632" s="32"/>
    </row>
    <row r="633" spans="14:31" x14ac:dyDescent="0.3">
      <c r="N633" s="11"/>
      <c r="P633" s="50"/>
      <c r="Q633" s="18"/>
      <c r="R633" s="18"/>
      <c r="S633" s="18"/>
      <c r="T633" s="18"/>
      <c r="U633" s="18"/>
      <c r="V633" s="18"/>
      <c r="W633" s="32"/>
      <c r="X633" s="18"/>
      <c r="Y633" s="18"/>
      <c r="Z633" s="32"/>
      <c r="AA633" s="18"/>
      <c r="AB633" s="18"/>
      <c r="AC633" s="18"/>
      <c r="AD633" s="33"/>
      <c r="AE633" s="32"/>
    </row>
    <row r="634" spans="14:31" x14ac:dyDescent="0.3">
      <c r="N634" s="11"/>
      <c r="P634" s="50"/>
      <c r="Q634" s="18"/>
      <c r="R634" s="18"/>
      <c r="S634" s="18"/>
      <c r="T634" s="18"/>
      <c r="U634" s="18"/>
      <c r="V634" s="18"/>
      <c r="W634" s="32"/>
      <c r="X634" s="18"/>
      <c r="Y634" s="18"/>
      <c r="Z634" s="32"/>
      <c r="AA634" s="18"/>
      <c r="AB634" s="18"/>
      <c r="AC634" s="18"/>
      <c r="AD634" s="33"/>
      <c r="AE634" s="32"/>
    </row>
    <row r="635" spans="14:31" x14ac:dyDescent="0.3">
      <c r="N635" s="11"/>
      <c r="P635" s="50"/>
      <c r="Q635" s="18"/>
      <c r="R635" s="18"/>
      <c r="S635" s="18"/>
      <c r="T635" s="18"/>
      <c r="U635" s="18"/>
      <c r="V635" s="18"/>
      <c r="W635" s="32"/>
      <c r="X635" s="18"/>
      <c r="Y635" s="18"/>
      <c r="Z635" s="32"/>
      <c r="AA635" s="18"/>
      <c r="AB635" s="18"/>
      <c r="AC635" s="18"/>
      <c r="AD635" s="33"/>
      <c r="AE635" s="32"/>
    </row>
    <row r="636" spans="14:31" x14ac:dyDescent="0.3">
      <c r="N636" s="11"/>
      <c r="P636" s="50"/>
      <c r="Q636" s="18"/>
      <c r="R636" s="18"/>
      <c r="S636" s="18"/>
      <c r="T636" s="18"/>
      <c r="U636" s="18"/>
      <c r="V636" s="18"/>
      <c r="W636" s="32"/>
      <c r="X636" s="18"/>
      <c r="Y636" s="18"/>
      <c r="Z636" s="32"/>
      <c r="AA636" s="18"/>
      <c r="AB636" s="18"/>
      <c r="AC636" s="18"/>
      <c r="AD636" s="33"/>
      <c r="AE636" s="32"/>
    </row>
    <row r="637" spans="14:31" x14ac:dyDescent="0.3">
      <c r="N637" s="11"/>
      <c r="P637" s="50"/>
      <c r="Q637" s="18"/>
      <c r="R637" s="18"/>
      <c r="S637" s="18"/>
      <c r="T637" s="18"/>
      <c r="U637" s="18"/>
      <c r="V637" s="18"/>
      <c r="W637" s="32"/>
      <c r="X637" s="18"/>
      <c r="Y637" s="18"/>
      <c r="Z637" s="32"/>
      <c r="AA637" s="18"/>
      <c r="AB637" s="18"/>
      <c r="AC637" s="18"/>
      <c r="AD637" s="33"/>
      <c r="AE637" s="32"/>
    </row>
    <row r="638" spans="14:31" x14ac:dyDescent="0.3">
      <c r="N638" s="11"/>
      <c r="P638" s="50"/>
      <c r="Q638" s="18"/>
      <c r="R638" s="18"/>
      <c r="S638" s="18"/>
      <c r="T638" s="18"/>
      <c r="U638" s="18"/>
      <c r="V638" s="18"/>
      <c r="W638" s="32"/>
      <c r="X638" s="18"/>
      <c r="Y638" s="18"/>
      <c r="Z638" s="32"/>
      <c r="AA638" s="18"/>
      <c r="AB638" s="18"/>
      <c r="AC638" s="18"/>
      <c r="AD638" s="33"/>
      <c r="AE638" s="32"/>
    </row>
    <row r="639" spans="14:31" x14ac:dyDescent="0.3">
      <c r="N639" s="11"/>
      <c r="P639" s="50"/>
      <c r="Q639" s="18"/>
      <c r="R639" s="18"/>
      <c r="S639" s="18"/>
      <c r="T639" s="18"/>
      <c r="U639" s="18"/>
      <c r="V639" s="18"/>
      <c r="W639" s="32"/>
      <c r="X639" s="18"/>
      <c r="Y639" s="18"/>
      <c r="Z639" s="32"/>
      <c r="AA639" s="18"/>
      <c r="AB639" s="18"/>
      <c r="AC639" s="18"/>
      <c r="AD639" s="33"/>
      <c r="AE639" s="32"/>
    </row>
    <row r="640" spans="14:31" x14ac:dyDescent="0.3">
      <c r="N640" s="11"/>
      <c r="P640" s="50"/>
      <c r="Q640" s="18"/>
      <c r="R640" s="18"/>
      <c r="S640" s="18"/>
      <c r="T640" s="18"/>
      <c r="U640" s="18"/>
      <c r="V640" s="18"/>
      <c r="W640" s="32"/>
      <c r="X640" s="18"/>
      <c r="Y640" s="18"/>
      <c r="Z640" s="32"/>
      <c r="AA640" s="18"/>
      <c r="AB640" s="18"/>
      <c r="AC640" s="18"/>
      <c r="AD640" s="33"/>
      <c r="AE640" s="32"/>
    </row>
    <row r="641" spans="14:31" x14ac:dyDescent="0.3">
      <c r="N641" s="11"/>
      <c r="P641" s="50"/>
      <c r="Q641" s="18"/>
      <c r="R641" s="18"/>
      <c r="S641" s="18"/>
      <c r="T641" s="18"/>
      <c r="U641" s="18"/>
      <c r="V641" s="18"/>
      <c r="W641" s="32"/>
      <c r="X641" s="18"/>
      <c r="Y641" s="18"/>
      <c r="Z641" s="32"/>
      <c r="AA641" s="18"/>
      <c r="AB641" s="18"/>
      <c r="AC641" s="18"/>
      <c r="AD641" s="33"/>
      <c r="AE641" s="32"/>
    </row>
    <row r="642" spans="14:31" x14ac:dyDescent="0.3">
      <c r="N642" s="11"/>
      <c r="P642" s="50"/>
      <c r="Q642" s="18"/>
      <c r="R642" s="18"/>
      <c r="S642" s="18"/>
      <c r="T642" s="18"/>
      <c r="U642" s="18"/>
      <c r="V642" s="18"/>
      <c r="W642" s="32"/>
      <c r="X642" s="18"/>
      <c r="Y642" s="18"/>
      <c r="Z642" s="32"/>
      <c r="AA642" s="18"/>
      <c r="AB642" s="18"/>
      <c r="AC642" s="18"/>
      <c r="AD642" s="33"/>
      <c r="AE642" s="32"/>
    </row>
    <row r="643" spans="14:31" x14ac:dyDescent="0.3">
      <c r="N643" s="11"/>
      <c r="P643" s="50"/>
      <c r="Q643" s="18"/>
      <c r="R643" s="18"/>
      <c r="S643" s="18"/>
      <c r="T643" s="18"/>
      <c r="U643" s="18"/>
      <c r="V643" s="18"/>
      <c r="W643" s="32"/>
      <c r="X643" s="18"/>
      <c r="Y643" s="18"/>
      <c r="Z643" s="32"/>
      <c r="AA643" s="18"/>
      <c r="AB643" s="18"/>
      <c r="AC643" s="18"/>
      <c r="AD643" s="33"/>
      <c r="AE643" s="32"/>
    </row>
    <row r="644" spans="14:31" x14ac:dyDescent="0.3">
      <c r="N644" s="11"/>
      <c r="P644" s="50"/>
      <c r="Q644" s="18"/>
      <c r="R644" s="18"/>
      <c r="S644" s="18"/>
      <c r="T644" s="18"/>
      <c r="U644" s="18"/>
      <c r="V644" s="18"/>
      <c r="W644" s="32"/>
      <c r="X644" s="18"/>
      <c r="Y644" s="18"/>
      <c r="Z644" s="32"/>
      <c r="AA644" s="18"/>
      <c r="AB644" s="18"/>
      <c r="AC644" s="18"/>
      <c r="AD644" s="33"/>
      <c r="AE644" s="32"/>
    </row>
    <row r="645" spans="14:31" x14ac:dyDescent="0.3">
      <c r="N645" s="11"/>
      <c r="P645" s="50"/>
      <c r="Q645" s="18"/>
      <c r="R645" s="18"/>
      <c r="S645" s="18"/>
      <c r="T645" s="18"/>
      <c r="U645" s="18"/>
      <c r="V645" s="18"/>
      <c r="W645" s="32"/>
      <c r="X645" s="18"/>
      <c r="Y645" s="18"/>
      <c r="Z645" s="32"/>
      <c r="AA645" s="18"/>
      <c r="AB645" s="18"/>
      <c r="AC645" s="18"/>
      <c r="AD645" s="33"/>
      <c r="AE645" s="32"/>
    </row>
    <row r="646" spans="14:31" x14ac:dyDescent="0.3">
      <c r="N646" s="11"/>
      <c r="P646" s="50"/>
      <c r="Q646" s="18"/>
      <c r="R646" s="18"/>
      <c r="S646" s="18"/>
      <c r="T646" s="18"/>
      <c r="U646" s="18"/>
      <c r="V646" s="18"/>
      <c r="W646" s="32"/>
      <c r="X646" s="18"/>
      <c r="Y646" s="18"/>
      <c r="Z646" s="32"/>
      <c r="AA646" s="18"/>
      <c r="AB646" s="18"/>
      <c r="AC646" s="18"/>
      <c r="AD646" s="33"/>
      <c r="AE646" s="32"/>
    </row>
    <row r="647" spans="14:31" x14ac:dyDescent="0.3">
      <c r="N647" s="11"/>
      <c r="P647" s="50"/>
      <c r="Q647" s="18"/>
      <c r="R647" s="18"/>
      <c r="S647" s="18"/>
      <c r="T647" s="18"/>
      <c r="U647" s="18"/>
      <c r="V647" s="18"/>
      <c r="W647" s="32"/>
      <c r="X647" s="18"/>
      <c r="Y647" s="18"/>
      <c r="Z647" s="32"/>
      <c r="AA647" s="18"/>
      <c r="AB647" s="18"/>
      <c r="AC647" s="18"/>
      <c r="AD647" s="33"/>
      <c r="AE647" s="32"/>
    </row>
    <row r="648" spans="14:31" x14ac:dyDescent="0.3">
      <c r="N648" s="11"/>
      <c r="P648" s="50"/>
      <c r="Q648" s="18"/>
      <c r="R648" s="18"/>
      <c r="S648" s="18"/>
      <c r="T648" s="18"/>
      <c r="U648" s="18"/>
      <c r="V648" s="18"/>
      <c r="W648" s="32"/>
      <c r="X648" s="18"/>
      <c r="Y648" s="18"/>
      <c r="Z648" s="32"/>
      <c r="AA648" s="18"/>
      <c r="AB648" s="18"/>
      <c r="AC648" s="18"/>
      <c r="AD648" s="33"/>
      <c r="AE648" s="32"/>
    </row>
    <row r="649" spans="14:31" x14ac:dyDescent="0.3">
      <c r="N649" s="11"/>
      <c r="P649" s="50"/>
      <c r="Q649" s="18"/>
      <c r="R649" s="18"/>
      <c r="S649" s="18"/>
      <c r="T649" s="18"/>
      <c r="U649" s="18"/>
      <c r="V649" s="18"/>
      <c r="W649" s="32"/>
      <c r="X649" s="18"/>
      <c r="Y649" s="18"/>
      <c r="Z649" s="32"/>
      <c r="AA649" s="18"/>
      <c r="AB649" s="18"/>
      <c r="AC649" s="18"/>
      <c r="AD649" s="33"/>
      <c r="AE649" s="32"/>
    </row>
    <row r="650" spans="14:31" x14ac:dyDescent="0.3">
      <c r="N650" s="11"/>
      <c r="P650" s="50"/>
      <c r="Q650" s="18"/>
      <c r="R650" s="18"/>
      <c r="S650" s="18"/>
      <c r="T650" s="18"/>
      <c r="U650" s="18"/>
      <c r="V650" s="18"/>
      <c r="W650" s="32"/>
      <c r="X650" s="18"/>
      <c r="Y650" s="18"/>
      <c r="Z650" s="32"/>
      <c r="AA650" s="18"/>
      <c r="AB650" s="18"/>
      <c r="AC650" s="18"/>
      <c r="AD650" s="33"/>
      <c r="AE650" s="32"/>
    </row>
    <row r="651" spans="14:31" x14ac:dyDescent="0.3">
      <c r="N651" s="11"/>
      <c r="P651" s="50"/>
      <c r="Q651" s="18"/>
      <c r="R651" s="18"/>
      <c r="S651" s="18"/>
      <c r="T651" s="18"/>
      <c r="U651" s="18"/>
      <c r="V651" s="18"/>
      <c r="W651" s="32"/>
      <c r="X651" s="18"/>
      <c r="Y651" s="18"/>
      <c r="Z651" s="32"/>
      <c r="AA651" s="18"/>
      <c r="AB651" s="18"/>
      <c r="AC651" s="18"/>
      <c r="AD651" s="33"/>
      <c r="AE651" s="32"/>
    </row>
    <row r="652" spans="14:31" x14ac:dyDescent="0.3">
      <c r="N652" s="11"/>
      <c r="P652" s="50"/>
      <c r="Q652" s="18"/>
      <c r="R652" s="18"/>
      <c r="S652" s="18"/>
      <c r="T652" s="18"/>
      <c r="U652" s="18"/>
      <c r="V652" s="18"/>
      <c r="W652" s="32"/>
      <c r="X652" s="18"/>
      <c r="Y652" s="18"/>
      <c r="Z652" s="32"/>
      <c r="AA652" s="18"/>
      <c r="AB652" s="18"/>
      <c r="AC652" s="18"/>
      <c r="AD652" s="33"/>
      <c r="AE652" s="32"/>
    </row>
    <row r="653" spans="14:31" x14ac:dyDescent="0.3">
      <c r="N653" s="11"/>
      <c r="P653" s="50"/>
      <c r="Q653" s="18"/>
      <c r="R653" s="18"/>
      <c r="S653" s="18"/>
      <c r="T653" s="18"/>
      <c r="U653" s="18"/>
      <c r="V653" s="18"/>
      <c r="W653" s="32"/>
      <c r="X653" s="18"/>
      <c r="Y653" s="18"/>
      <c r="Z653" s="32"/>
      <c r="AA653" s="18"/>
      <c r="AB653" s="18"/>
      <c r="AC653" s="18"/>
      <c r="AD653" s="33"/>
      <c r="AE653" s="32"/>
    </row>
    <row r="654" spans="14:31" x14ac:dyDescent="0.3">
      <c r="N654" s="11"/>
      <c r="P654" s="50"/>
      <c r="Q654" s="18"/>
      <c r="R654" s="18"/>
      <c r="S654" s="18"/>
      <c r="T654" s="18"/>
      <c r="U654" s="18"/>
      <c r="V654" s="18"/>
      <c r="W654" s="32"/>
      <c r="X654" s="18"/>
      <c r="Y654" s="18"/>
      <c r="Z654" s="32"/>
      <c r="AA654" s="18"/>
      <c r="AB654" s="18"/>
      <c r="AC654" s="18"/>
      <c r="AD654" s="33"/>
      <c r="AE654" s="32"/>
    </row>
    <row r="655" spans="14:31" x14ac:dyDescent="0.3">
      <c r="N655" s="11"/>
      <c r="P655" s="50"/>
      <c r="Q655" s="18"/>
      <c r="R655" s="18"/>
      <c r="S655" s="18"/>
      <c r="T655" s="18"/>
      <c r="U655" s="18"/>
      <c r="V655" s="18"/>
      <c r="W655" s="32"/>
      <c r="X655" s="18"/>
      <c r="Y655" s="18"/>
      <c r="Z655" s="32"/>
      <c r="AA655" s="18"/>
      <c r="AB655" s="18"/>
      <c r="AC655" s="18"/>
      <c r="AD655" s="33"/>
      <c r="AE655" s="32"/>
    </row>
    <row r="656" spans="14:31" x14ac:dyDescent="0.3">
      <c r="N656" s="11"/>
      <c r="P656" s="50"/>
      <c r="Q656" s="18"/>
      <c r="R656" s="18"/>
      <c r="S656" s="18"/>
      <c r="T656" s="18"/>
      <c r="U656" s="18"/>
      <c r="V656" s="18"/>
      <c r="W656" s="32"/>
      <c r="X656" s="18"/>
      <c r="Y656" s="18"/>
      <c r="Z656" s="32"/>
      <c r="AA656" s="18"/>
      <c r="AB656" s="18"/>
      <c r="AC656" s="18"/>
      <c r="AD656" s="33"/>
      <c r="AE656" s="32"/>
    </row>
    <row r="657" spans="14:31" x14ac:dyDescent="0.3">
      <c r="N657" s="11"/>
      <c r="P657" s="50"/>
      <c r="Q657" s="18"/>
      <c r="R657" s="18"/>
      <c r="S657" s="18"/>
      <c r="T657" s="18"/>
      <c r="U657" s="18"/>
      <c r="V657" s="18"/>
      <c r="W657" s="32"/>
      <c r="X657" s="18"/>
      <c r="Y657" s="18"/>
      <c r="Z657" s="32"/>
      <c r="AA657" s="18"/>
      <c r="AB657" s="18"/>
      <c r="AC657" s="18"/>
      <c r="AD657" s="33"/>
      <c r="AE657" s="32"/>
    </row>
    <row r="658" spans="14:31" x14ac:dyDescent="0.3">
      <c r="N658" s="11"/>
      <c r="P658" s="50"/>
      <c r="Q658" s="18"/>
      <c r="R658" s="18"/>
      <c r="S658" s="18"/>
      <c r="T658" s="18"/>
      <c r="U658" s="18"/>
      <c r="V658" s="18"/>
      <c r="W658" s="32"/>
      <c r="X658" s="18"/>
      <c r="Y658" s="18"/>
      <c r="Z658" s="32"/>
      <c r="AA658" s="18"/>
      <c r="AB658" s="18"/>
      <c r="AC658" s="18"/>
      <c r="AD658" s="33"/>
      <c r="AE658" s="32"/>
    </row>
    <row r="659" spans="14:31" x14ac:dyDescent="0.3">
      <c r="N659" s="11"/>
      <c r="P659" s="50"/>
      <c r="Q659" s="18"/>
      <c r="R659" s="18"/>
      <c r="S659" s="18"/>
      <c r="T659" s="18"/>
      <c r="U659" s="18"/>
      <c r="V659" s="18"/>
      <c r="W659" s="32"/>
      <c r="X659" s="18"/>
      <c r="Y659" s="18"/>
      <c r="Z659" s="32"/>
      <c r="AA659" s="18"/>
      <c r="AB659" s="18"/>
      <c r="AC659" s="18"/>
      <c r="AD659" s="33"/>
      <c r="AE659" s="32"/>
    </row>
    <row r="660" spans="14:31" x14ac:dyDescent="0.3">
      <c r="N660" s="11"/>
      <c r="P660" s="50"/>
      <c r="Q660" s="18"/>
      <c r="R660" s="18"/>
      <c r="S660" s="18"/>
      <c r="T660" s="18"/>
      <c r="U660" s="18"/>
      <c r="V660" s="18"/>
      <c r="W660" s="32"/>
      <c r="X660" s="18"/>
      <c r="Y660" s="18"/>
      <c r="Z660" s="32"/>
      <c r="AA660" s="18"/>
      <c r="AB660" s="18"/>
      <c r="AC660" s="18"/>
      <c r="AD660" s="33"/>
      <c r="AE660" s="32"/>
    </row>
    <row r="661" spans="14:31" x14ac:dyDescent="0.3">
      <c r="N661" s="11"/>
      <c r="P661" s="50"/>
      <c r="Q661" s="18"/>
      <c r="R661" s="18"/>
      <c r="S661" s="18"/>
      <c r="T661" s="18"/>
      <c r="U661" s="18"/>
      <c r="V661" s="18"/>
      <c r="W661" s="32"/>
      <c r="X661" s="18"/>
      <c r="Y661" s="18"/>
      <c r="Z661" s="32"/>
      <c r="AA661" s="18"/>
      <c r="AB661" s="18"/>
      <c r="AC661" s="18"/>
      <c r="AD661" s="33"/>
      <c r="AE661" s="32"/>
    </row>
    <row r="662" spans="14:31" x14ac:dyDescent="0.3">
      <c r="N662" s="11"/>
      <c r="P662" s="50"/>
      <c r="Q662" s="18"/>
      <c r="R662" s="18"/>
      <c r="S662" s="18"/>
      <c r="T662" s="18"/>
      <c r="U662" s="18"/>
      <c r="V662" s="18"/>
      <c r="W662" s="32"/>
      <c r="X662" s="18"/>
      <c r="Y662" s="18"/>
      <c r="Z662" s="32"/>
      <c r="AA662" s="18"/>
      <c r="AB662" s="18"/>
      <c r="AC662" s="18"/>
      <c r="AD662" s="33"/>
      <c r="AE662" s="32"/>
    </row>
    <row r="663" spans="14:31" x14ac:dyDescent="0.3">
      <c r="N663" s="11"/>
      <c r="P663" s="50"/>
      <c r="Q663" s="18"/>
      <c r="R663" s="18"/>
      <c r="S663" s="18"/>
      <c r="T663" s="18"/>
      <c r="U663" s="18"/>
      <c r="V663" s="18"/>
      <c r="W663" s="32"/>
      <c r="X663" s="18"/>
      <c r="Y663" s="18"/>
      <c r="Z663" s="32"/>
      <c r="AA663" s="18"/>
      <c r="AB663" s="18"/>
      <c r="AC663" s="18"/>
      <c r="AD663" s="33"/>
      <c r="AE663" s="32"/>
    </row>
    <row r="664" spans="14:31" x14ac:dyDescent="0.3">
      <c r="N664" s="11"/>
      <c r="P664" s="50"/>
      <c r="Q664" s="18"/>
      <c r="R664" s="18"/>
      <c r="S664" s="18"/>
      <c r="T664" s="18"/>
      <c r="U664" s="18"/>
      <c r="V664" s="18"/>
      <c r="W664" s="32"/>
      <c r="X664" s="18"/>
      <c r="Y664" s="18"/>
      <c r="Z664" s="32"/>
      <c r="AA664" s="18"/>
      <c r="AB664" s="18"/>
      <c r="AC664" s="18"/>
      <c r="AD664" s="33"/>
      <c r="AE664" s="32"/>
    </row>
    <row r="665" spans="14:31" x14ac:dyDescent="0.3">
      <c r="N665" s="11"/>
      <c r="P665" s="50"/>
      <c r="Q665" s="18"/>
      <c r="R665" s="18"/>
      <c r="S665" s="18"/>
      <c r="T665" s="18"/>
      <c r="U665" s="18"/>
      <c r="V665" s="18"/>
      <c r="W665" s="32"/>
      <c r="X665" s="18"/>
      <c r="Y665" s="18"/>
      <c r="Z665" s="32"/>
      <c r="AA665" s="18"/>
      <c r="AB665" s="18"/>
      <c r="AC665" s="18"/>
      <c r="AD665" s="33"/>
      <c r="AE665" s="32"/>
    </row>
    <row r="666" spans="14:31" x14ac:dyDescent="0.3">
      <c r="N666" s="11"/>
      <c r="P666" s="50"/>
      <c r="Q666" s="18"/>
      <c r="R666" s="18"/>
      <c r="S666" s="18"/>
      <c r="T666" s="18"/>
      <c r="U666" s="18"/>
      <c r="V666" s="18"/>
      <c r="W666" s="32"/>
      <c r="X666" s="18"/>
      <c r="Y666" s="18"/>
      <c r="Z666" s="32"/>
      <c r="AA666" s="18"/>
      <c r="AB666" s="18"/>
      <c r="AC666" s="18"/>
      <c r="AD666" s="33"/>
      <c r="AE666" s="32"/>
    </row>
    <row r="667" spans="14:31" x14ac:dyDescent="0.3">
      <c r="N667" s="11"/>
      <c r="P667" s="50"/>
      <c r="Q667" s="18"/>
      <c r="R667" s="18"/>
      <c r="S667" s="18"/>
      <c r="T667" s="18"/>
      <c r="U667" s="18"/>
      <c r="V667" s="18"/>
      <c r="W667" s="32"/>
      <c r="X667" s="18"/>
      <c r="Y667" s="18"/>
      <c r="Z667" s="32"/>
      <c r="AA667" s="18"/>
      <c r="AB667" s="18"/>
      <c r="AC667" s="18"/>
      <c r="AD667" s="33"/>
      <c r="AE667" s="32"/>
    </row>
    <row r="668" spans="14:31" x14ac:dyDescent="0.3">
      <c r="N668" s="11"/>
      <c r="P668" s="50"/>
      <c r="Q668" s="18"/>
      <c r="R668" s="18"/>
      <c r="S668" s="18"/>
      <c r="T668" s="18"/>
      <c r="U668" s="18"/>
      <c r="V668" s="18"/>
      <c r="W668" s="32"/>
      <c r="X668" s="18"/>
      <c r="Y668" s="18"/>
      <c r="Z668" s="32"/>
      <c r="AA668" s="18"/>
      <c r="AB668" s="18"/>
      <c r="AC668" s="18"/>
      <c r="AD668" s="33"/>
      <c r="AE668" s="32"/>
    </row>
    <row r="669" spans="14:31" x14ac:dyDescent="0.3">
      <c r="N669" s="11"/>
      <c r="P669" s="50"/>
      <c r="Q669" s="18"/>
      <c r="R669" s="18"/>
      <c r="S669" s="18"/>
      <c r="T669" s="18"/>
      <c r="U669" s="18"/>
      <c r="V669" s="18"/>
      <c r="W669" s="32"/>
      <c r="X669" s="18"/>
      <c r="Y669" s="18"/>
      <c r="Z669" s="32"/>
      <c r="AA669" s="18"/>
      <c r="AB669" s="18"/>
      <c r="AC669" s="18"/>
      <c r="AD669" s="33"/>
      <c r="AE669" s="32"/>
    </row>
    <row r="670" spans="14:31" x14ac:dyDescent="0.3">
      <c r="N670" s="11"/>
      <c r="P670" s="50"/>
      <c r="Q670" s="18"/>
      <c r="R670" s="18"/>
      <c r="S670" s="18"/>
      <c r="T670" s="18"/>
      <c r="U670" s="18"/>
      <c r="V670" s="18"/>
      <c r="W670" s="32"/>
      <c r="X670" s="18"/>
      <c r="Y670" s="18"/>
      <c r="Z670" s="32"/>
      <c r="AA670" s="18"/>
      <c r="AB670" s="18"/>
      <c r="AC670" s="18"/>
      <c r="AD670" s="33"/>
      <c r="AE670" s="32"/>
    </row>
    <row r="671" spans="14:31" x14ac:dyDescent="0.3">
      <c r="N671" s="11"/>
      <c r="P671" s="50"/>
      <c r="Q671" s="18"/>
      <c r="R671" s="18"/>
      <c r="S671" s="18"/>
      <c r="T671" s="18"/>
      <c r="U671" s="18"/>
      <c r="V671" s="18"/>
      <c r="W671" s="32"/>
      <c r="X671" s="18"/>
      <c r="Y671" s="18"/>
      <c r="Z671" s="32"/>
      <c r="AA671" s="18"/>
      <c r="AB671" s="18"/>
      <c r="AC671" s="18"/>
      <c r="AD671" s="33"/>
      <c r="AE671" s="32"/>
    </row>
    <row r="672" spans="14:31" x14ac:dyDescent="0.3">
      <c r="N672" s="11"/>
      <c r="P672" s="50"/>
      <c r="Q672" s="18"/>
      <c r="R672" s="18"/>
      <c r="S672" s="18"/>
      <c r="T672" s="18"/>
      <c r="U672" s="18"/>
      <c r="V672" s="18"/>
      <c r="W672" s="32"/>
      <c r="X672" s="18"/>
      <c r="Y672" s="18"/>
      <c r="Z672" s="32"/>
      <c r="AA672" s="18"/>
      <c r="AB672" s="18"/>
      <c r="AC672" s="18"/>
      <c r="AD672" s="33"/>
      <c r="AE672" s="32"/>
    </row>
    <row r="673" spans="14:31" x14ac:dyDescent="0.3">
      <c r="N673" s="11"/>
      <c r="P673" s="50"/>
      <c r="Q673" s="18"/>
      <c r="R673" s="18"/>
      <c r="S673" s="18"/>
      <c r="T673" s="18"/>
      <c r="U673" s="18"/>
      <c r="V673" s="18"/>
      <c r="W673" s="32"/>
      <c r="X673" s="18"/>
      <c r="Y673" s="18"/>
      <c r="Z673" s="32"/>
      <c r="AA673" s="18"/>
      <c r="AB673" s="18"/>
      <c r="AC673" s="18"/>
      <c r="AD673" s="33"/>
      <c r="AE673" s="32"/>
    </row>
    <row r="674" spans="14:31" x14ac:dyDescent="0.3">
      <c r="N674" s="11"/>
      <c r="P674" s="50"/>
      <c r="Q674" s="18"/>
      <c r="R674" s="18"/>
      <c r="S674" s="18"/>
      <c r="T674" s="18"/>
      <c r="U674" s="18"/>
      <c r="V674" s="18"/>
      <c r="W674" s="32"/>
      <c r="X674" s="18"/>
      <c r="Y674" s="18"/>
      <c r="Z674" s="32"/>
      <c r="AA674" s="18"/>
      <c r="AB674" s="18"/>
      <c r="AC674" s="18"/>
      <c r="AD674" s="33"/>
      <c r="AE674" s="32"/>
    </row>
    <row r="675" spans="14:31" x14ac:dyDescent="0.3">
      <c r="N675" s="11"/>
      <c r="P675" s="50"/>
      <c r="Q675" s="18"/>
      <c r="R675" s="18"/>
      <c r="S675" s="18"/>
      <c r="T675" s="18"/>
      <c r="U675" s="18"/>
      <c r="V675" s="18"/>
      <c r="W675" s="32"/>
      <c r="X675" s="18"/>
      <c r="Y675" s="18"/>
      <c r="Z675" s="32"/>
      <c r="AA675" s="18"/>
      <c r="AB675" s="18"/>
      <c r="AC675" s="18"/>
      <c r="AD675" s="33"/>
      <c r="AE675" s="32"/>
    </row>
    <row r="676" spans="14:31" x14ac:dyDescent="0.3">
      <c r="N676" s="11"/>
      <c r="P676" s="50"/>
      <c r="Q676" s="18"/>
      <c r="R676" s="18"/>
      <c r="S676" s="18"/>
      <c r="T676" s="18"/>
      <c r="U676" s="18"/>
      <c r="V676" s="18"/>
      <c r="W676" s="32"/>
      <c r="X676" s="18"/>
      <c r="Y676" s="18"/>
      <c r="Z676" s="32"/>
      <c r="AA676" s="18"/>
      <c r="AB676" s="18"/>
      <c r="AC676" s="18"/>
      <c r="AD676" s="33"/>
      <c r="AE676" s="32"/>
    </row>
    <row r="677" spans="14:31" x14ac:dyDescent="0.3">
      <c r="N677" s="11"/>
      <c r="P677" s="50"/>
      <c r="Q677" s="18"/>
      <c r="R677" s="18"/>
      <c r="S677" s="18"/>
      <c r="T677" s="18"/>
      <c r="U677" s="18"/>
      <c r="V677" s="18"/>
      <c r="W677" s="32"/>
      <c r="X677" s="18"/>
      <c r="Y677" s="18"/>
      <c r="Z677" s="32"/>
      <c r="AA677" s="18"/>
      <c r="AB677" s="18"/>
      <c r="AC677" s="18"/>
      <c r="AD677" s="33"/>
      <c r="AE677" s="32"/>
    </row>
    <row r="678" spans="14:31" x14ac:dyDescent="0.3">
      <c r="N678" s="11"/>
      <c r="P678" s="50"/>
      <c r="Q678" s="18"/>
      <c r="R678" s="18"/>
      <c r="S678" s="18"/>
      <c r="T678" s="18"/>
      <c r="U678" s="18"/>
      <c r="V678" s="18"/>
      <c r="W678" s="32"/>
      <c r="X678" s="18"/>
      <c r="Y678" s="18"/>
      <c r="Z678" s="32"/>
      <c r="AA678" s="18"/>
      <c r="AB678" s="18"/>
      <c r="AC678" s="18"/>
      <c r="AD678" s="33"/>
      <c r="AE678" s="32"/>
    </row>
    <row r="679" spans="14:31" x14ac:dyDescent="0.3">
      <c r="N679" s="11"/>
      <c r="P679" s="50"/>
      <c r="Q679" s="18"/>
      <c r="R679" s="18"/>
      <c r="S679" s="18"/>
      <c r="T679" s="18"/>
      <c r="U679" s="18"/>
      <c r="V679" s="18"/>
      <c r="W679" s="32"/>
      <c r="X679" s="18"/>
      <c r="Y679" s="18"/>
      <c r="Z679" s="32"/>
      <c r="AA679" s="18"/>
      <c r="AB679" s="18"/>
      <c r="AC679" s="18"/>
      <c r="AD679" s="33"/>
      <c r="AE679" s="32"/>
    </row>
    <row r="680" spans="14:31" x14ac:dyDescent="0.3">
      <c r="N680" s="11"/>
      <c r="P680" s="50"/>
      <c r="Q680" s="18"/>
      <c r="R680" s="18"/>
      <c r="S680" s="18"/>
      <c r="T680" s="18"/>
      <c r="U680" s="18"/>
      <c r="V680" s="18"/>
      <c r="W680" s="32"/>
      <c r="X680" s="18"/>
      <c r="Y680" s="18"/>
      <c r="Z680" s="32"/>
      <c r="AA680" s="18"/>
      <c r="AB680" s="18"/>
      <c r="AC680" s="18"/>
      <c r="AD680" s="33"/>
      <c r="AE680" s="32"/>
    </row>
    <row r="681" spans="14:31" x14ac:dyDescent="0.3">
      <c r="N681" s="11"/>
      <c r="P681" s="50"/>
      <c r="Q681" s="18"/>
      <c r="R681" s="18"/>
      <c r="S681" s="18"/>
      <c r="T681" s="18"/>
      <c r="U681" s="18"/>
      <c r="V681" s="18"/>
      <c r="W681" s="32"/>
      <c r="X681" s="18"/>
      <c r="Y681" s="18"/>
      <c r="Z681" s="32"/>
      <c r="AA681" s="18"/>
      <c r="AB681" s="18"/>
      <c r="AC681" s="18"/>
      <c r="AD681" s="33"/>
      <c r="AE681" s="32"/>
    </row>
    <row r="682" spans="14:31" x14ac:dyDescent="0.3">
      <c r="N682" s="11"/>
      <c r="P682" s="50"/>
      <c r="Q682" s="18"/>
      <c r="R682" s="18"/>
      <c r="S682" s="18"/>
      <c r="T682" s="18"/>
      <c r="U682" s="18"/>
      <c r="V682" s="18"/>
      <c r="W682" s="32"/>
      <c r="X682" s="18"/>
      <c r="Y682" s="18"/>
      <c r="Z682" s="32"/>
      <c r="AA682" s="18"/>
      <c r="AB682" s="18"/>
      <c r="AC682" s="18"/>
      <c r="AD682" s="33"/>
      <c r="AE682" s="32"/>
    </row>
    <row r="683" spans="14:31" x14ac:dyDescent="0.3">
      <c r="N683" s="11"/>
      <c r="P683" s="50"/>
      <c r="Q683" s="18"/>
      <c r="R683" s="18"/>
      <c r="S683" s="18"/>
      <c r="T683" s="18"/>
      <c r="U683" s="18"/>
      <c r="V683" s="18"/>
      <c r="W683" s="32"/>
      <c r="X683" s="18"/>
      <c r="Y683" s="18"/>
      <c r="Z683" s="32"/>
      <c r="AA683" s="18"/>
      <c r="AB683" s="18"/>
      <c r="AC683" s="18"/>
      <c r="AD683" s="33"/>
      <c r="AE683" s="32"/>
    </row>
    <row r="684" spans="14:31" x14ac:dyDescent="0.3">
      <c r="N684" s="11"/>
      <c r="P684" s="50"/>
      <c r="Q684" s="18"/>
      <c r="R684" s="18"/>
      <c r="S684" s="18"/>
      <c r="T684" s="18"/>
      <c r="U684" s="18"/>
      <c r="V684" s="18"/>
      <c r="W684" s="32"/>
      <c r="X684" s="18"/>
      <c r="Y684" s="18"/>
      <c r="Z684" s="32"/>
      <c r="AA684" s="18"/>
      <c r="AB684" s="18"/>
      <c r="AC684" s="18"/>
      <c r="AD684" s="33"/>
      <c r="AE684" s="32"/>
    </row>
    <row r="685" spans="14:31" x14ac:dyDescent="0.3">
      <c r="N685" s="11"/>
      <c r="P685" s="50"/>
      <c r="Q685" s="18"/>
      <c r="R685" s="18"/>
      <c r="S685" s="18"/>
      <c r="T685" s="18"/>
      <c r="U685" s="18"/>
      <c r="V685" s="18"/>
      <c r="W685" s="32"/>
      <c r="X685" s="18"/>
      <c r="Y685" s="18"/>
      <c r="Z685" s="32"/>
      <c r="AA685" s="18"/>
      <c r="AB685" s="18"/>
      <c r="AC685" s="18"/>
      <c r="AD685" s="33"/>
      <c r="AE685" s="32"/>
    </row>
    <row r="686" spans="14:31" x14ac:dyDescent="0.3">
      <c r="N686" s="11"/>
      <c r="P686" s="50"/>
      <c r="Q686" s="18"/>
      <c r="R686" s="18"/>
      <c r="S686" s="18"/>
      <c r="T686" s="18"/>
      <c r="U686" s="18"/>
      <c r="V686" s="18"/>
      <c r="W686" s="32"/>
      <c r="X686" s="18"/>
      <c r="Y686" s="18"/>
      <c r="Z686" s="32"/>
      <c r="AA686" s="18"/>
      <c r="AB686" s="18"/>
      <c r="AC686" s="18"/>
      <c r="AD686" s="33"/>
      <c r="AE686" s="32"/>
    </row>
    <row r="687" spans="14:31" x14ac:dyDescent="0.3">
      <c r="N687" s="11"/>
      <c r="P687" s="50"/>
      <c r="Q687" s="18"/>
      <c r="R687" s="18"/>
      <c r="S687" s="18"/>
      <c r="T687" s="18"/>
      <c r="U687" s="18"/>
      <c r="V687" s="18"/>
      <c r="W687" s="32"/>
      <c r="X687" s="18"/>
      <c r="Y687" s="18"/>
      <c r="Z687" s="32"/>
      <c r="AA687" s="18"/>
      <c r="AB687" s="18"/>
      <c r="AC687" s="18"/>
      <c r="AD687" s="33"/>
      <c r="AE687" s="32"/>
    </row>
    <row r="688" spans="14:31" x14ac:dyDescent="0.3">
      <c r="N688" s="11"/>
      <c r="P688" s="50"/>
      <c r="Q688" s="18"/>
      <c r="R688" s="18"/>
      <c r="S688" s="18"/>
      <c r="T688" s="18"/>
      <c r="U688" s="18"/>
      <c r="V688" s="18"/>
      <c r="W688" s="32"/>
      <c r="X688" s="18"/>
      <c r="Y688" s="18"/>
      <c r="Z688" s="32"/>
      <c r="AA688" s="18"/>
      <c r="AB688" s="18"/>
      <c r="AC688" s="18"/>
      <c r="AD688" s="33"/>
      <c r="AE688" s="32"/>
    </row>
    <row r="689" spans="14:31" x14ac:dyDescent="0.3">
      <c r="N689" s="11"/>
      <c r="P689" s="50"/>
      <c r="Q689" s="18"/>
      <c r="R689" s="18"/>
      <c r="S689" s="18"/>
      <c r="T689" s="18"/>
      <c r="U689" s="18"/>
      <c r="V689" s="18"/>
      <c r="W689" s="32"/>
      <c r="X689" s="18"/>
      <c r="Y689" s="18"/>
      <c r="Z689" s="32"/>
      <c r="AA689" s="18"/>
      <c r="AB689" s="18"/>
      <c r="AC689" s="18"/>
      <c r="AD689" s="33"/>
      <c r="AE689" s="32"/>
    </row>
    <row r="690" spans="14:31" x14ac:dyDescent="0.3">
      <c r="N690" s="11"/>
      <c r="P690" s="50"/>
      <c r="Q690" s="18"/>
      <c r="R690" s="18"/>
      <c r="S690" s="18"/>
      <c r="T690" s="18"/>
      <c r="U690" s="18"/>
      <c r="V690" s="18"/>
      <c r="W690" s="32"/>
      <c r="X690" s="18"/>
      <c r="Y690" s="18"/>
      <c r="Z690" s="32"/>
      <c r="AA690" s="18"/>
      <c r="AB690" s="18"/>
      <c r="AC690" s="18"/>
      <c r="AD690" s="33"/>
      <c r="AE690" s="32"/>
    </row>
    <row r="691" spans="14:31" x14ac:dyDescent="0.3">
      <c r="N691" s="11"/>
      <c r="P691" s="50"/>
      <c r="Q691" s="18"/>
      <c r="R691" s="18"/>
      <c r="S691" s="18"/>
      <c r="T691" s="18"/>
      <c r="U691" s="18"/>
      <c r="V691" s="18"/>
      <c r="W691" s="32"/>
      <c r="X691" s="18"/>
      <c r="Y691" s="18"/>
      <c r="Z691" s="32"/>
      <c r="AA691" s="18"/>
      <c r="AB691" s="18"/>
      <c r="AC691" s="18"/>
      <c r="AD691" s="33"/>
      <c r="AE691" s="32"/>
    </row>
    <row r="692" spans="14:31" x14ac:dyDescent="0.3">
      <c r="N692" s="11"/>
      <c r="P692" s="50"/>
      <c r="Q692" s="18"/>
      <c r="R692" s="18"/>
      <c r="S692" s="18"/>
      <c r="T692" s="18"/>
      <c r="U692" s="18"/>
      <c r="V692" s="18"/>
      <c r="W692" s="32"/>
      <c r="X692" s="18"/>
      <c r="Y692" s="18"/>
      <c r="Z692" s="32"/>
      <c r="AA692" s="18"/>
      <c r="AB692" s="18"/>
      <c r="AC692" s="18"/>
      <c r="AD692" s="33"/>
      <c r="AE692" s="32"/>
    </row>
    <row r="693" spans="14:31" x14ac:dyDescent="0.3">
      <c r="N693" s="11"/>
      <c r="P693" s="50"/>
      <c r="Q693" s="18"/>
      <c r="R693" s="18"/>
      <c r="S693" s="18"/>
      <c r="T693" s="18"/>
      <c r="U693" s="18"/>
      <c r="V693" s="18"/>
      <c r="W693" s="32"/>
      <c r="X693" s="18"/>
      <c r="Y693" s="18"/>
      <c r="Z693" s="32"/>
      <c r="AA693" s="18"/>
      <c r="AB693" s="18"/>
      <c r="AC693" s="18"/>
      <c r="AD693" s="33"/>
      <c r="AE693" s="32"/>
    </row>
    <row r="694" spans="14:31" x14ac:dyDescent="0.3">
      <c r="N694" s="11"/>
      <c r="P694" s="50"/>
      <c r="Q694" s="18"/>
      <c r="R694" s="18"/>
      <c r="S694" s="18"/>
      <c r="T694" s="18"/>
      <c r="U694" s="18"/>
      <c r="V694" s="18"/>
      <c r="W694" s="32"/>
      <c r="X694" s="18"/>
      <c r="Y694" s="18"/>
      <c r="Z694" s="32"/>
      <c r="AA694" s="18"/>
      <c r="AB694" s="18"/>
      <c r="AC694" s="18"/>
      <c r="AD694" s="33"/>
      <c r="AE694" s="32"/>
    </row>
    <row r="695" spans="14:31" x14ac:dyDescent="0.3">
      <c r="N695" s="11"/>
      <c r="P695" s="50"/>
      <c r="Q695" s="18"/>
      <c r="R695" s="18"/>
      <c r="S695" s="18"/>
      <c r="T695" s="18"/>
      <c r="U695" s="18"/>
      <c r="V695" s="18"/>
      <c r="W695" s="32"/>
      <c r="X695" s="18"/>
      <c r="Y695" s="18"/>
      <c r="Z695" s="32"/>
      <c r="AA695" s="18"/>
      <c r="AB695" s="18"/>
      <c r="AC695" s="18"/>
      <c r="AD695" s="33"/>
      <c r="AE695" s="32"/>
    </row>
    <row r="696" spans="14:31" x14ac:dyDescent="0.3">
      <c r="N696" s="11"/>
      <c r="P696" s="50"/>
      <c r="Q696" s="18"/>
      <c r="R696" s="18"/>
      <c r="S696" s="18"/>
      <c r="T696" s="18"/>
      <c r="U696" s="18"/>
      <c r="V696" s="18"/>
      <c r="W696" s="32"/>
      <c r="X696" s="18"/>
      <c r="Y696" s="18"/>
      <c r="Z696" s="32"/>
      <c r="AA696" s="18"/>
      <c r="AB696" s="18"/>
      <c r="AC696" s="18"/>
      <c r="AD696" s="33"/>
      <c r="AE696" s="32"/>
    </row>
    <row r="697" spans="14:31" x14ac:dyDescent="0.3">
      <c r="N697" s="11"/>
      <c r="P697" s="50"/>
      <c r="Q697" s="18"/>
      <c r="R697" s="18"/>
      <c r="S697" s="18"/>
      <c r="T697" s="18"/>
      <c r="U697" s="18"/>
      <c r="V697" s="18"/>
      <c r="W697" s="32"/>
      <c r="X697" s="18"/>
      <c r="Y697" s="18"/>
      <c r="Z697" s="32"/>
      <c r="AA697" s="18"/>
      <c r="AB697" s="18"/>
      <c r="AC697" s="18"/>
      <c r="AD697" s="33"/>
      <c r="AE697" s="32"/>
    </row>
    <row r="698" spans="14:31" x14ac:dyDescent="0.3">
      <c r="N698" s="11"/>
      <c r="P698" s="50"/>
      <c r="Q698" s="18"/>
      <c r="R698" s="18"/>
      <c r="S698" s="18"/>
      <c r="T698" s="18"/>
      <c r="U698" s="18"/>
      <c r="V698" s="18"/>
      <c r="W698" s="32"/>
      <c r="X698" s="18"/>
      <c r="Y698" s="18"/>
      <c r="Z698" s="32"/>
      <c r="AA698" s="18"/>
      <c r="AB698" s="18"/>
      <c r="AC698" s="18"/>
      <c r="AD698" s="33"/>
      <c r="AE698" s="32"/>
    </row>
    <row r="699" spans="14:31" x14ac:dyDescent="0.3">
      <c r="N699" s="11"/>
      <c r="P699" s="50"/>
      <c r="Q699" s="18"/>
      <c r="R699" s="18"/>
      <c r="S699" s="18"/>
      <c r="T699" s="18"/>
      <c r="U699" s="18"/>
      <c r="V699" s="18"/>
      <c r="W699" s="32"/>
      <c r="X699" s="18"/>
      <c r="Y699" s="18"/>
      <c r="Z699" s="32"/>
      <c r="AA699" s="18"/>
      <c r="AB699" s="18"/>
      <c r="AC699" s="18"/>
      <c r="AD699" s="33"/>
      <c r="AE699" s="32"/>
    </row>
    <row r="700" spans="14:31" x14ac:dyDescent="0.3">
      <c r="N700" s="11"/>
      <c r="P700" s="50"/>
      <c r="Q700" s="18"/>
      <c r="R700" s="18"/>
      <c r="S700" s="18"/>
      <c r="T700" s="18"/>
      <c r="U700" s="18"/>
      <c r="V700" s="18"/>
      <c r="W700" s="32"/>
      <c r="X700" s="18"/>
      <c r="Y700" s="18"/>
      <c r="Z700" s="32"/>
      <c r="AA700" s="18"/>
      <c r="AB700" s="18"/>
      <c r="AC700" s="18"/>
      <c r="AD700" s="33"/>
      <c r="AE700" s="32"/>
    </row>
    <row r="701" spans="14:31" x14ac:dyDescent="0.3">
      <c r="N701" s="11"/>
      <c r="P701" s="50"/>
      <c r="Q701" s="18"/>
      <c r="R701" s="18"/>
      <c r="S701" s="18"/>
      <c r="T701" s="18"/>
      <c r="U701" s="18"/>
      <c r="V701" s="18"/>
      <c r="W701" s="32"/>
      <c r="X701" s="18"/>
      <c r="Y701" s="18"/>
      <c r="Z701" s="32"/>
      <c r="AA701" s="18"/>
      <c r="AB701" s="18"/>
      <c r="AC701" s="18"/>
      <c r="AD701" s="33"/>
      <c r="AE701" s="32"/>
    </row>
    <row r="702" spans="14:31" x14ac:dyDescent="0.3">
      <c r="N702" s="11"/>
      <c r="P702" s="50"/>
      <c r="Q702" s="18"/>
      <c r="R702" s="18"/>
      <c r="S702" s="18"/>
      <c r="T702" s="18"/>
      <c r="U702" s="18"/>
      <c r="V702" s="18"/>
      <c r="W702" s="32"/>
      <c r="X702" s="18"/>
      <c r="Y702" s="18"/>
      <c r="Z702" s="32"/>
      <c r="AA702" s="18"/>
      <c r="AB702" s="18"/>
      <c r="AC702" s="18"/>
      <c r="AD702" s="33"/>
      <c r="AE702" s="32"/>
    </row>
    <row r="703" spans="14:31" x14ac:dyDescent="0.3">
      <c r="N703" s="11"/>
      <c r="P703" s="50"/>
      <c r="Q703" s="18"/>
      <c r="R703" s="18"/>
      <c r="S703" s="18"/>
      <c r="T703" s="18"/>
      <c r="U703" s="18"/>
      <c r="V703" s="18"/>
      <c r="W703" s="32"/>
      <c r="X703" s="18"/>
      <c r="Y703" s="18"/>
      <c r="Z703" s="32"/>
      <c r="AA703" s="18"/>
      <c r="AB703" s="18"/>
      <c r="AC703" s="18"/>
      <c r="AD703" s="33"/>
      <c r="AE703" s="32"/>
    </row>
    <row r="704" spans="14:31" x14ac:dyDescent="0.3">
      <c r="N704" s="11"/>
      <c r="P704" s="50"/>
      <c r="Q704" s="18"/>
      <c r="R704" s="18"/>
      <c r="S704" s="18"/>
      <c r="T704" s="18"/>
      <c r="U704" s="18"/>
      <c r="V704" s="18"/>
      <c r="W704" s="32"/>
      <c r="X704" s="18"/>
      <c r="Y704" s="18"/>
      <c r="Z704" s="32"/>
      <c r="AA704" s="18"/>
      <c r="AB704" s="18"/>
      <c r="AC704" s="18"/>
      <c r="AD704" s="33"/>
      <c r="AE704" s="32"/>
    </row>
    <row r="705" spans="14:31" x14ac:dyDescent="0.3">
      <c r="N705" s="11"/>
      <c r="P705" s="50"/>
      <c r="Q705" s="18"/>
      <c r="R705" s="18"/>
      <c r="S705" s="18"/>
      <c r="T705" s="18"/>
      <c r="U705" s="18"/>
      <c r="V705" s="18"/>
      <c r="W705" s="32"/>
      <c r="X705" s="18"/>
      <c r="Y705" s="18"/>
      <c r="Z705" s="32"/>
      <c r="AA705" s="18"/>
      <c r="AB705" s="18"/>
      <c r="AC705" s="18"/>
      <c r="AD705" s="33"/>
      <c r="AE705" s="32"/>
    </row>
    <row r="706" spans="14:31" x14ac:dyDescent="0.3">
      <c r="N706" s="11"/>
      <c r="P706" s="50"/>
      <c r="Q706" s="18"/>
      <c r="R706" s="18"/>
      <c r="S706" s="18"/>
      <c r="T706" s="18"/>
      <c r="U706" s="18"/>
      <c r="V706" s="18"/>
      <c r="W706" s="32"/>
      <c r="X706" s="18"/>
      <c r="Y706" s="18"/>
      <c r="Z706" s="32"/>
      <c r="AA706" s="18"/>
      <c r="AB706" s="18"/>
      <c r="AC706" s="18"/>
      <c r="AD706" s="33"/>
      <c r="AE706" s="32"/>
    </row>
    <row r="707" spans="14:31" x14ac:dyDescent="0.3">
      <c r="N707" s="11"/>
      <c r="P707" s="50"/>
      <c r="Q707" s="18"/>
      <c r="R707" s="18"/>
      <c r="S707" s="18"/>
      <c r="T707" s="18"/>
      <c r="U707" s="18"/>
      <c r="V707" s="18"/>
      <c r="W707" s="32"/>
      <c r="X707" s="18"/>
      <c r="Y707" s="18"/>
      <c r="Z707" s="32"/>
      <c r="AA707" s="18"/>
      <c r="AB707" s="18"/>
      <c r="AC707" s="18"/>
      <c r="AD707" s="33"/>
      <c r="AE707" s="32"/>
    </row>
    <row r="708" spans="14:31" x14ac:dyDescent="0.3">
      <c r="N708" s="11"/>
      <c r="P708" s="50"/>
      <c r="Q708" s="18"/>
      <c r="R708" s="18"/>
      <c r="S708" s="18"/>
      <c r="T708" s="18"/>
      <c r="U708" s="18"/>
      <c r="V708" s="18"/>
      <c r="W708" s="32"/>
      <c r="X708" s="18"/>
      <c r="Y708" s="18"/>
      <c r="Z708" s="32"/>
      <c r="AA708" s="18"/>
      <c r="AB708" s="18"/>
      <c r="AC708" s="18"/>
      <c r="AD708" s="33"/>
      <c r="AE708" s="32"/>
    </row>
  </sheetData>
  <mergeCells count="46">
    <mergeCell ref="AF2:AR2"/>
    <mergeCell ref="BL16:BM16"/>
    <mergeCell ref="BI16:BK16"/>
    <mergeCell ref="BI17:BK17"/>
    <mergeCell ref="BI4:BK4"/>
    <mergeCell ref="BI5:BK5"/>
    <mergeCell ref="BF5:BH5"/>
    <mergeCell ref="AG5:AI5"/>
    <mergeCell ref="AJ5:AL5"/>
    <mergeCell ref="AM5:AO5"/>
    <mergeCell ref="AP5:AR5"/>
    <mergeCell ref="BC17:BE17"/>
    <mergeCell ref="BF16:BH16"/>
    <mergeCell ref="BF17:BH17"/>
    <mergeCell ref="AT17:AV17"/>
    <mergeCell ref="AW17:AY17"/>
    <mergeCell ref="A1:M1"/>
    <mergeCell ref="N1:X1"/>
    <mergeCell ref="P4:AE4"/>
    <mergeCell ref="BL5:BM5"/>
    <mergeCell ref="BL4:BM4"/>
    <mergeCell ref="AS4:BE4"/>
    <mergeCell ref="BF4:BH4"/>
    <mergeCell ref="Q5:S5"/>
    <mergeCell ref="T5:V5"/>
    <mergeCell ref="W5:Y5"/>
    <mergeCell ref="Z5:AB5"/>
    <mergeCell ref="AC5:AE5"/>
    <mergeCell ref="AT5:AV5"/>
    <mergeCell ref="AW5:AY5"/>
    <mergeCell ref="AZ5:BB5"/>
    <mergeCell ref="BC5:BE5"/>
    <mergeCell ref="E6:K6"/>
    <mergeCell ref="Q17:S17"/>
    <mergeCell ref="T17:V17"/>
    <mergeCell ref="W17:Y17"/>
    <mergeCell ref="P16:AE16"/>
    <mergeCell ref="Z17:AB17"/>
    <mergeCell ref="AC17:AE17"/>
    <mergeCell ref="AZ17:BB17"/>
    <mergeCell ref="AS16:BE16"/>
    <mergeCell ref="AF16:AR16"/>
    <mergeCell ref="AG17:AI17"/>
    <mergeCell ref="AJ17:AL17"/>
    <mergeCell ref="AM17:AO17"/>
    <mergeCell ref="AP17:AR1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52"/>
  <sheetViews>
    <sheetView zoomScale="85" zoomScaleNormal="85" workbookViewId="0">
      <selection activeCell="B19" sqref="B19"/>
    </sheetView>
  </sheetViews>
  <sheetFormatPr defaultRowHeight="14.4" x14ac:dyDescent="0.3"/>
  <cols>
    <col min="1" max="1" width="26.88671875" customWidth="1"/>
    <col min="2" max="2" width="25.5546875" customWidth="1"/>
    <col min="3" max="3" width="10.109375" customWidth="1"/>
  </cols>
  <sheetData>
    <row r="1" spans="1:9" ht="28.2" x14ac:dyDescent="0.5">
      <c r="A1" s="235" t="s">
        <v>77</v>
      </c>
      <c r="B1" s="235"/>
      <c r="C1" s="235"/>
      <c r="D1" s="235"/>
      <c r="E1" s="235"/>
      <c r="F1" s="235"/>
      <c r="G1" s="235"/>
      <c r="H1" s="235"/>
      <c r="I1" s="235"/>
    </row>
    <row r="2" spans="1:9" x14ac:dyDescent="0.3">
      <c r="A2" s="12"/>
      <c r="B2" s="12" t="s">
        <v>16</v>
      </c>
      <c r="C2" s="13"/>
      <c r="D2" s="18"/>
      <c r="E2" s="12"/>
      <c r="F2" s="12"/>
      <c r="G2" s="12"/>
      <c r="H2" s="12"/>
      <c r="I2" s="12"/>
    </row>
    <row r="3" spans="1:9" x14ac:dyDescent="0.3">
      <c r="A3" s="12"/>
      <c r="B3" s="12" t="s">
        <v>17</v>
      </c>
      <c r="C3" s="14"/>
      <c r="D3" s="18"/>
      <c r="E3" s="12"/>
      <c r="F3" s="12"/>
      <c r="G3" s="12"/>
      <c r="H3" s="12"/>
      <c r="I3" s="12"/>
    </row>
    <row r="4" spans="1:9" x14ac:dyDescent="0.3">
      <c r="A4" s="12"/>
      <c r="B4" s="12" t="s">
        <v>18</v>
      </c>
      <c r="C4" s="15"/>
      <c r="D4" s="18"/>
      <c r="E4" s="12"/>
      <c r="F4" s="12"/>
      <c r="G4" s="12"/>
      <c r="H4" s="12"/>
      <c r="I4" s="12"/>
    </row>
    <row r="5" spans="1:9" x14ac:dyDescent="0.3">
      <c r="A5" s="11" t="s">
        <v>19</v>
      </c>
      <c r="B5" s="11" t="s">
        <v>20</v>
      </c>
      <c r="C5" s="11" t="s">
        <v>21</v>
      </c>
      <c r="D5" s="18"/>
      <c r="E5" s="236" t="s">
        <v>22</v>
      </c>
      <c r="F5" s="236"/>
      <c r="G5" s="236"/>
      <c r="H5" s="236"/>
      <c r="I5" s="11"/>
    </row>
    <row r="6" spans="1:9" s="4" customFormat="1" x14ac:dyDescent="0.3">
      <c r="A6" s="11"/>
      <c r="B6" s="11"/>
      <c r="C6" s="11"/>
      <c r="D6" s="18"/>
      <c r="E6" s="20"/>
      <c r="F6" s="20"/>
      <c r="G6" s="20"/>
      <c r="H6" s="20"/>
      <c r="I6" s="11"/>
    </row>
    <row r="7" spans="1:9" s="4" customFormat="1" x14ac:dyDescent="0.3">
      <c r="A7" s="11" t="s">
        <v>56</v>
      </c>
      <c r="B7" s="11"/>
      <c r="C7" s="11"/>
      <c r="D7" s="18"/>
      <c r="E7" s="20"/>
      <c r="F7" s="20"/>
      <c r="G7" s="20"/>
      <c r="H7" s="20"/>
      <c r="I7" s="11"/>
    </row>
    <row r="8" spans="1:9" s="4" customFormat="1" x14ac:dyDescent="0.3">
      <c r="A8" s="11"/>
      <c r="B8" s="11"/>
      <c r="C8" s="11"/>
      <c r="D8" s="18"/>
      <c r="E8" s="20"/>
      <c r="F8" s="20"/>
      <c r="G8" s="20"/>
      <c r="H8" s="20"/>
      <c r="I8" s="11"/>
    </row>
    <row r="9" spans="1:9" x14ac:dyDescent="0.3">
      <c r="A9" t="s">
        <v>45</v>
      </c>
      <c r="B9" s="22">
        <v>0.8</v>
      </c>
      <c r="D9" t="s">
        <v>48</v>
      </c>
    </row>
    <row r="10" spans="1:9" s="4" customFormat="1" x14ac:dyDescent="0.3">
      <c r="A10" s="4" t="s">
        <v>49</v>
      </c>
      <c r="B10" s="23">
        <f>(1-B9)/(2.2*10^6)</f>
        <v>9.0909090909090888E-8</v>
      </c>
      <c r="C10" s="4" t="s">
        <v>52</v>
      </c>
      <c r="D10" s="4" t="s">
        <v>55</v>
      </c>
    </row>
    <row r="11" spans="1:9" x14ac:dyDescent="0.3">
      <c r="A11" s="4" t="s">
        <v>46</v>
      </c>
      <c r="B11" s="22">
        <v>0.85</v>
      </c>
      <c r="D11" s="4" t="s">
        <v>48</v>
      </c>
    </row>
    <row r="12" spans="1:9" s="4" customFormat="1" x14ac:dyDescent="0.3">
      <c r="A12" s="4" t="s">
        <v>50</v>
      </c>
      <c r="B12" s="23">
        <f>(1-B11)/(2.2*10^6)</f>
        <v>6.8181818181818186E-8</v>
      </c>
      <c r="C12" s="4" t="s">
        <v>52</v>
      </c>
      <c r="D12" s="4" t="s">
        <v>54</v>
      </c>
    </row>
    <row r="13" spans="1:9" x14ac:dyDescent="0.3">
      <c r="A13" s="4" t="s">
        <v>47</v>
      </c>
      <c r="B13" s="22">
        <v>0.9</v>
      </c>
      <c r="D13" s="4" t="s">
        <v>48</v>
      </c>
    </row>
    <row r="14" spans="1:9" x14ac:dyDescent="0.3">
      <c r="A14" t="s">
        <v>51</v>
      </c>
      <c r="B14" s="23">
        <f>(1-B13)/(2.2*10^6)</f>
        <v>4.5454545454545444E-8</v>
      </c>
      <c r="C14" t="s">
        <v>52</v>
      </c>
      <c r="D14" t="s">
        <v>53</v>
      </c>
    </row>
    <row r="16" spans="1:9" x14ac:dyDescent="0.3">
      <c r="A16" t="s">
        <v>57</v>
      </c>
      <c r="B16" s="22">
        <v>0.9</v>
      </c>
      <c r="D16" s="4" t="s">
        <v>63</v>
      </c>
    </row>
    <row r="17" spans="1:4" x14ac:dyDescent="0.3">
      <c r="A17" t="s">
        <v>58</v>
      </c>
      <c r="B17" s="22">
        <v>0.93</v>
      </c>
      <c r="D17" t="s">
        <v>60</v>
      </c>
    </row>
    <row r="18" spans="1:4" x14ac:dyDescent="0.3">
      <c r="A18" t="s">
        <v>59</v>
      </c>
      <c r="B18" s="22">
        <v>0.96</v>
      </c>
      <c r="D18" s="4" t="s">
        <v>64</v>
      </c>
    </row>
    <row r="19" spans="1:4" x14ac:dyDescent="0.3">
      <c r="B19" s="4">
        <f>IF(((1-D_limit_min)/Constants!B12)&lt;Fsw,2,1)</f>
        <v>1</v>
      </c>
      <c r="D19" s="4" t="s">
        <v>453</v>
      </c>
    </row>
    <row r="20" spans="1:4" x14ac:dyDescent="0.3">
      <c r="A20" t="s">
        <v>75</v>
      </c>
      <c r="B20" s="1">
        <f>CHOOSE(B19,D_limit_min,(1-Constants!B10*Fsw))</f>
        <v>0.9</v>
      </c>
      <c r="D20" s="4" t="s">
        <v>76</v>
      </c>
    </row>
    <row r="22" spans="1:4" x14ac:dyDescent="0.3">
      <c r="A22" t="s">
        <v>81</v>
      </c>
      <c r="B22" s="22">
        <f>50*10^-9</f>
        <v>5.0000000000000004E-8</v>
      </c>
      <c r="C22" t="s">
        <v>52</v>
      </c>
      <c r="D22" t="s">
        <v>82</v>
      </c>
    </row>
    <row r="23" spans="1:4" s="32" customFormat="1" x14ac:dyDescent="0.3">
      <c r="B23" s="22"/>
    </row>
    <row r="24" spans="1:4" ht="15.6" x14ac:dyDescent="0.3">
      <c r="A24" s="43" t="s">
        <v>139</v>
      </c>
    </row>
    <row r="25" spans="1:4" x14ac:dyDescent="0.3">
      <c r="A25" t="s">
        <v>116</v>
      </c>
      <c r="B25" s="22">
        <f>30*10^-6</f>
        <v>2.9999999999999997E-5</v>
      </c>
      <c r="C25" t="s">
        <v>11</v>
      </c>
      <c r="D25" t="s">
        <v>117</v>
      </c>
    </row>
    <row r="26" spans="1:4" x14ac:dyDescent="0.3">
      <c r="A26" t="s">
        <v>118</v>
      </c>
      <c r="B26" s="22">
        <v>1333</v>
      </c>
      <c r="C26" s="2" t="s">
        <v>36</v>
      </c>
      <c r="D26" t="s">
        <v>119</v>
      </c>
    </row>
    <row r="27" spans="1:4" x14ac:dyDescent="0.3">
      <c r="A27" t="s">
        <v>122</v>
      </c>
      <c r="B27" s="22">
        <f>0.1</f>
        <v>0.1</v>
      </c>
      <c r="C27" s="2" t="s">
        <v>10</v>
      </c>
      <c r="D27" t="s">
        <v>123</v>
      </c>
    </row>
    <row r="29" spans="1:4" x14ac:dyDescent="0.3">
      <c r="A29" t="s">
        <v>198</v>
      </c>
      <c r="B29" s="22">
        <f>0.145</f>
        <v>0.14499999999999999</v>
      </c>
      <c r="C29" t="s">
        <v>147</v>
      </c>
      <c r="D29" t="s">
        <v>200</v>
      </c>
    </row>
    <row r="30" spans="1:4" x14ac:dyDescent="0.3">
      <c r="A30" t="s">
        <v>202</v>
      </c>
      <c r="B30" s="22">
        <v>1</v>
      </c>
      <c r="C30" t="s">
        <v>147</v>
      </c>
      <c r="D30" t="s">
        <v>203</v>
      </c>
    </row>
    <row r="32" spans="1:4" s="32" customFormat="1" x14ac:dyDescent="0.3">
      <c r="A32" s="48" t="s">
        <v>223</v>
      </c>
    </row>
    <row r="33" spans="1:4" s="32" customFormat="1" x14ac:dyDescent="0.3">
      <c r="A33" s="32" t="s">
        <v>242</v>
      </c>
      <c r="B33" s="32">
        <v>1</v>
      </c>
      <c r="C33" s="32" t="s">
        <v>10</v>
      </c>
      <c r="D33" s="32" t="s">
        <v>243</v>
      </c>
    </row>
    <row r="34" spans="1:4" x14ac:dyDescent="0.3">
      <c r="A34" t="s">
        <v>226</v>
      </c>
      <c r="B34">
        <f>(2*10^-3)/1</f>
        <v>2E-3</v>
      </c>
      <c r="C34" t="s">
        <v>228</v>
      </c>
      <c r="D34" t="s">
        <v>227</v>
      </c>
    </row>
    <row r="36" spans="1:4" x14ac:dyDescent="0.3">
      <c r="A36" s="48" t="s">
        <v>277</v>
      </c>
    </row>
    <row r="37" spans="1:4" x14ac:dyDescent="0.3">
      <c r="A37" t="s">
        <v>278</v>
      </c>
      <c r="B37">
        <f>10*10^-6</f>
        <v>9.9999999999999991E-6</v>
      </c>
      <c r="C37" t="s">
        <v>11</v>
      </c>
      <c r="D37" t="s">
        <v>279</v>
      </c>
    </row>
    <row r="39" spans="1:4" x14ac:dyDescent="0.3">
      <c r="A39" s="48" t="s">
        <v>297</v>
      </c>
    </row>
    <row r="40" spans="1:4" x14ac:dyDescent="0.3">
      <c r="A40" t="s">
        <v>298</v>
      </c>
      <c r="B40">
        <v>1.5</v>
      </c>
      <c r="C40" t="s">
        <v>10</v>
      </c>
      <c r="D40" t="s">
        <v>301</v>
      </c>
    </row>
    <row r="41" spans="1:4" x14ac:dyDescent="0.3">
      <c r="A41" t="s">
        <v>299</v>
      </c>
      <c r="B41">
        <v>1.45</v>
      </c>
      <c r="C41" t="s">
        <v>10</v>
      </c>
      <c r="D41" t="s">
        <v>300</v>
      </c>
    </row>
    <row r="42" spans="1:4" x14ac:dyDescent="0.3">
      <c r="A42" t="s">
        <v>304</v>
      </c>
      <c r="B42">
        <f>5*10^-6</f>
        <v>4.9999999999999996E-6</v>
      </c>
      <c r="C42" t="s">
        <v>11</v>
      </c>
      <c r="D42" t="s">
        <v>305</v>
      </c>
    </row>
    <row r="44" spans="1:4" x14ac:dyDescent="0.3">
      <c r="A44" s="48" t="s">
        <v>361</v>
      </c>
    </row>
    <row r="45" spans="1:4" x14ac:dyDescent="0.3">
      <c r="A45" t="s">
        <v>362</v>
      </c>
      <c r="B45">
        <v>6.75</v>
      </c>
      <c r="C45" t="s">
        <v>10</v>
      </c>
      <c r="D45" t="s">
        <v>363</v>
      </c>
    </row>
    <row r="47" spans="1:4" x14ac:dyDescent="0.3">
      <c r="A47" s="48" t="s">
        <v>379</v>
      </c>
    </row>
    <row r="48" spans="1:4" x14ac:dyDescent="0.3">
      <c r="A48" t="s">
        <v>380</v>
      </c>
      <c r="B48">
        <f>450*(10^-6)</f>
        <v>4.4999999999999999E-4</v>
      </c>
      <c r="C48" t="s">
        <v>11</v>
      </c>
      <c r="D48" t="s">
        <v>381</v>
      </c>
    </row>
    <row r="50" spans="1:4" x14ac:dyDescent="0.3">
      <c r="A50" t="s">
        <v>420</v>
      </c>
    </row>
    <row r="51" spans="1:4" x14ac:dyDescent="0.3">
      <c r="A51" t="s">
        <v>421</v>
      </c>
      <c r="B51">
        <v>1.5</v>
      </c>
      <c r="C51" t="s">
        <v>10</v>
      </c>
      <c r="D51" t="s">
        <v>422</v>
      </c>
    </row>
    <row r="52" spans="1:4" x14ac:dyDescent="0.3">
      <c r="A52" s="32" t="s">
        <v>424</v>
      </c>
      <c r="B52">
        <v>45</v>
      </c>
      <c r="D52" t="s">
        <v>423</v>
      </c>
    </row>
  </sheetData>
  <mergeCells count="2">
    <mergeCell ref="A1:I1"/>
    <mergeCell ref="E5:H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E3" sqref="E3"/>
    </sheetView>
  </sheetViews>
  <sheetFormatPr defaultRowHeight="14.4" x14ac:dyDescent="0.3"/>
  <cols>
    <col min="3" max="3" width="144.88671875" customWidth="1"/>
  </cols>
  <sheetData>
    <row r="2" spans="2:2" x14ac:dyDescent="0.3">
      <c r="B2" t="str">
        <f>"Eff_vs_IOUT"</f>
        <v>Eff_vs_IOUT</v>
      </c>
    </row>
    <row r="3" spans="2:2" ht="379.65" customHeight="1"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
  <sheetViews>
    <sheetView workbookViewId="0">
      <selection activeCell="B36" sqref="B36"/>
    </sheetView>
  </sheetViews>
  <sheetFormatPr defaultRowHeight="14.4" x14ac:dyDescent="0.3"/>
  <cols>
    <col min="2" max="2" width="71.33203125" customWidth="1"/>
  </cols>
  <sheetData>
    <row r="2" ht="294.60000000000002" customHeight="1"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D5"/>
  <sheetViews>
    <sheetView workbookViewId="0">
      <selection activeCell="B3" sqref="B3"/>
    </sheetView>
  </sheetViews>
  <sheetFormatPr defaultRowHeight="14.4" x14ac:dyDescent="0.3"/>
  <sheetData>
    <row r="2" spans="1:4" x14ac:dyDescent="0.3">
      <c r="A2" t="s">
        <v>396</v>
      </c>
    </row>
    <row r="3" spans="1:4" x14ac:dyDescent="0.3">
      <c r="B3">
        <f>VIN_min</f>
        <v>8</v>
      </c>
    </row>
    <row r="4" spans="1:4" x14ac:dyDescent="0.3">
      <c r="B4">
        <f>VIN_nom</f>
        <v>14.8</v>
      </c>
      <c r="D4">
        <v>2.5</v>
      </c>
    </row>
    <row r="5" spans="1:4" x14ac:dyDescent="0.3">
      <c r="B5">
        <f>VIN_max</f>
        <v>18</v>
      </c>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election activeCell="C31" sqref="C31"/>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147</vt:i4>
      </vt:variant>
    </vt:vector>
  </HeadingPairs>
  <TitlesOfParts>
    <vt:vector size="156" baseType="lpstr">
      <vt:lpstr>Design Converter</vt:lpstr>
      <vt:lpstr>Variable_Management</vt:lpstr>
      <vt:lpstr>Eff_vs_IOUT</vt:lpstr>
      <vt:lpstr>Loop_Modeling</vt:lpstr>
      <vt:lpstr>Constants</vt:lpstr>
      <vt:lpstr>Plot_Management_Eff</vt:lpstr>
      <vt:lpstr>Plot_Management_Sch</vt:lpstr>
      <vt:lpstr>Lists</vt:lpstr>
      <vt:lpstr>Sheet1</vt:lpstr>
      <vt:lpstr>Acs</vt:lpstr>
      <vt:lpstr>Adc</vt:lpstr>
      <vt:lpstr>Adc_ea</vt:lpstr>
      <vt:lpstr>ADC_VINmin</vt:lpstr>
      <vt:lpstr>Cac</vt:lpstr>
      <vt:lpstr>Cac_min</vt:lpstr>
      <vt:lpstr>CCOMP</vt:lpstr>
      <vt:lpstr>CCOMP_Calc</vt:lpstr>
      <vt:lpstr>CCOMP_calc_CCM</vt:lpstr>
      <vt:lpstr>CCOMP_CALC_DCM</vt:lpstr>
      <vt:lpstr>CHF</vt:lpstr>
      <vt:lpstr>CHF_calc</vt:lpstr>
      <vt:lpstr>CHF_CALC_CCM</vt:lpstr>
      <vt:lpstr>CHF_CALC_DCM</vt:lpstr>
      <vt:lpstr>Comp_calc_CCM</vt:lpstr>
      <vt:lpstr>Cout</vt:lpstr>
      <vt:lpstr>Cout_min</vt:lpstr>
      <vt:lpstr>D_limit_max</vt:lpstr>
      <vt:lpstr>D_limit_min</vt:lpstr>
      <vt:lpstr>D_limit_nom</vt:lpstr>
      <vt:lpstr>DC_DCM_max</vt:lpstr>
      <vt:lpstr>Dc_max_IC</vt:lpstr>
      <vt:lpstr>Dc_max_ideal</vt:lpstr>
      <vt:lpstr>Dc_VIN_max</vt:lpstr>
      <vt:lpstr>Dc_VIN_min</vt:lpstr>
      <vt:lpstr>Dc_VIN_nom</vt:lpstr>
      <vt:lpstr>DC_VIN_Var</vt:lpstr>
      <vt:lpstr>DC_VIN_var_DCM</vt:lpstr>
      <vt:lpstr>EFF_est</vt:lpstr>
      <vt:lpstr>Eff_vs_IOUT</vt:lpstr>
      <vt:lpstr>fcross</vt:lpstr>
      <vt:lpstr>fcross_est</vt:lpstr>
      <vt:lpstr>fp_ea_est</vt:lpstr>
      <vt:lpstr>Fsw</vt:lpstr>
      <vt:lpstr>fz_ea_est</vt:lpstr>
      <vt:lpstr>fz_rhp</vt:lpstr>
      <vt:lpstr>Gcomp</vt:lpstr>
      <vt:lpstr>gfs</vt:lpstr>
      <vt:lpstr>gm_ea</vt:lpstr>
      <vt:lpstr>Gplant_fc_dB</vt:lpstr>
      <vt:lpstr>IL_coupled</vt:lpstr>
      <vt:lpstr>IL_pk</vt:lpstr>
      <vt:lpstr>IL_pk_max</vt:lpstr>
      <vt:lpstr>ILA_avg_VIN_max</vt:lpstr>
      <vt:lpstr>ILA_avg_VIN_min</vt:lpstr>
      <vt:lpstr>ILA_avg_VIN_nom</vt:lpstr>
      <vt:lpstr>ILAp_VINmax</vt:lpstr>
      <vt:lpstr>ILAp_VINmin</vt:lpstr>
      <vt:lpstr>ILAp_VINnom</vt:lpstr>
      <vt:lpstr>ILArip_VINmax</vt:lpstr>
      <vt:lpstr>ILArip_VINmin</vt:lpstr>
      <vt:lpstr>ILArip_VINnom</vt:lpstr>
      <vt:lpstr>ILB_avg_VIN_max</vt:lpstr>
      <vt:lpstr>ILB_avg_VIN_min</vt:lpstr>
      <vt:lpstr>ILB_avg_VIN_nom</vt:lpstr>
      <vt:lpstr>ILBp_VIN_max</vt:lpstr>
      <vt:lpstr>ILBp_VIN_min</vt:lpstr>
      <vt:lpstr>ILBp_VIN_nom</vt:lpstr>
      <vt:lpstr>ILBrip_VIN_max</vt:lpstr>
      <vt:lpstr>ILBrip_VIN_nom</vt:lpstr>
      <vt:lpstr>ILBrip_VINmin</vt:lpstr>
      <vt:lpstr>ILrip</vt:lpstr>
      <vt:lpstr>IOUT</vt:lpstr>
      <vt:lpstr>IOUT_VAR</vt:lpstr>
      <vt:lpstr>Ipk_margin</vt:lpstr>
      <vt:lpstr>Ipk_selected</vt:lpstr>
      <vt:lpstr>IQ</vt:lpstr>
      <vt:lpstr>IRMS_COUT</vt:lpstr>
      <vt:lpstr>Isl</vt:lpstr>
      <vt:lpstr>Iss</vt:lpstr>
      <vt:lpstr>ISW_peak_VIN_min</vt:lpstr>
      <vt:lpstr>ISW_peak_VIN_nom</vt:lpstr>
      <vt:lpstr>Kslope</vt:lpstr>
      <vt:lpstr>Lm</vt:lpstr>
      <vt:lpstr>Lm_A</vt:lpstr>
      <vt:lpstr>Lm_B</vt:lpstr>
      <vt:lpstr>Lopt_2</vt:lpstr>
      <vt:lpstr>M_L_DCM</vt:lpstr>
      <vt:lpstr>POUT</vt:lpstr>
      <vt:lpstr>'Design Converter'!Print_Area</vt:lpstr>
      <vt:lpstr>Q</vt:lpstr>
      <vt:lpstr>Q_VINmin</vt:lpstr>
      <vt:lpstr>Qg_tot</vt:lpstr>
      <vt:lpstr>Qgd</vt:lpstr>
      <vt:lpstr>Qgs</vt:lpstr>
      <vt:lpstr>Qrr</vt:lpstr>
      <vt:lpstr>R_cs</vt:lpstr>
      <vt:lpstr>R_sl</vt:lpstr>
      <vt:lpstr>RCOMP</vt:lpstr>
      <vt:lpstr>RCOMP_Calc</vt:lpstr>
      <vt:lpstr>Rcomp_calc_CCM</vt:lpstr>
      <vt:lpstr>RCOMP_CALC_DCM</vt:lpstr>
      <vt:lpstr>Rcs_max</vt:lpstr>
      <vt:lpstr>Rcs_w_sl</vt:lpstr>
      <vt:lpstr>Rcs_wo_sl</vt:lpstr>
      <vt:lpstr>Rdcr</vt:lpstr>
      <vt:lpstr>RDS_on</vt:lpstr>
      <vt:lpstr>Resr</vt:lpstr>
      <vt:lpstr>RFBB</vt:lpstr>
      <vt:lpstr>RFBB_calc</vt:lpstr>
      <vt:lpstr>RFBT</vt:lpstr>
      <vt:lpstr>Rgate</vt:lpstr>
      <vt:lpstr>ROUT</vt:lpstr>
      <vt:lpstr>Rsl_int</vt:lpstr>
      <vt:lpstr>RT</vt:lpstr>
      <vt:lpstr>Ruvlo_bottom_calc</vt:lpstr>
      <vt:lpstr>Ruvlo_top</vt:lpstr>
      <vt:lpstr>Ruvlo_top_calc</vt:lpstr>
      <vt:lpstr>SCH_1</vt:lpstr>
      <vt:lpstr>Se_VINmin</vt:lpstr>
      <vt:lpstr>Sn_VINmin</vt:lpstr>
      <vt:lpstr>tf_sw</vt:lpstr>
      <vt:lpstr>tr_sw</vt:lpstr>
      <vt:lpstr>tss</vt:lpstr>
      <vt:lpstr>UV_fall</vt:lpstr>
      <vt:lpstr>UV_I_hyst</vt:lpstr>
      <vt:lpstr>UV_rise</vt:lpstr>
      <vt:lpstr>Vcc</vt:lpstr>
      <vt:lpstr>Vcl</vt:lpstr>
      <vt:lpstr>VCrr</vt:lpstr>
      <vt:lpstr>Vd_rect</vt:lpstr>
      <vt:lpstr>VIN_max</vt:lpstr>
      <vt:lpstr>VIN_min</vt:lpstr>
      <vt:lpstr>VIN_nom</vt:lpstr>
      <vt:lpstr>VIN_op_max</vt:lpstr>
      <vt:lpstr>VIN_op_min</vt:lpstr>
      <vt:lpstr>VIN_var</vt:lpstr>
      <vt:lpstr>VOUT</vt:lpstr>
      <vt:lpstr>Vout_rip_sel</vt:lpstr>
      <vt:lpstr>Vref</vt:lpstr>
      <vt:lpstr>Vth</vt:lpstr>
      <vt:lpstr>Vuvlo_off</vt:lpstr>
      <vt:lpstr>Vuvlo_on</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Marcus Behel</cp:lastModifiedBy>
  <cp:lastPrinted>2018-08-09T07:13:51Z</cp:lastPrinted>
  <dcterms:created xsi:type="dcterms:W3CDTF">2018-06-26T09:13:29Z</dcterms:created>
  <dcterms:modified xsi:type="dcterms:W3CDTF">2022-06-15T03:34:40Z</dcterms:modified>
</cp:coreProperties>
</file>