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LASSES\FALL 2022\STATISTICAL ANALYSIS\"/>
    </mc:Choice>
  </mc:AlternateContent>
  <xr:revisionPtr revIDLastSave="0" documentId="13_ncr:1_{38B08273-F23F-4250-BAB6-B0C9FA9DB73F}" xr6:coauthVersionLast="47" xr6:coauthVersionMax="47" xr10:uidLastSave="{00000000-0000-0000-0000-000000000000}"/>
  <bookViews>
    <workbookView xWindow="-108" yWindow="-108" windowWidth="23256" windowHeight="12576" xr2:uid="{5F228555-888B-4C66-9971-E7E891F5EA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4" i="1"/>
  <c r="S9" i="1"/>
  <c r="S5" i="1"/>
  <c r="S6" i="1"/>
  <c r="S7" i="1"/>
  <c r="S8" i="1"/>
  <c r="S4" i="1"/>
  <c r="R8" i="1"/>
  <c r="R7" i="1"/>
  <c r="R6" i="1"/>
  <c r="Q5" i="1"/>
  <c r="Q6" i="1"/>
  <c r="Q7" i="1"/>
  <c r="Q8" i="1"/>
  <c r="Q4" i="1"/>
  <c r="M5" i="1"/>
  <c r="N5" i="1" s="1"/>
  <c r="M6" i="1"/>
  <c r="N6" i="1" s="1"/>
  <c r="M7" i="1"/>
  <c r="M8" i="1"/>
  <c r="M4" i="1"/>
  <c r="N8" i="1"/>
  <c r="N4" i="1"/>
  <c r="C5" i="1"/>
  <c r="D5" i="1" s="1"/>
  <c r="C6" i="1"/>
  <c r="D6" i="1" s="1"/>
  <c r="C7" i="1"/>
  <c r="D7" i="1" s="1"/>
  <c r="C8" i="1"/>
  <c r="C4" i="1"/>
  <c r="D4" i="1" s="1"/>
  <c r="D8" i="1"/>
  <c r="N7" i="1"/>
  <c r="H7" i="1"/>
  <c r="H8" i="1"/>
  <c r="H6" i="1"/>
  <c r="B48" i="1"/>
  <c r="E15" i="1"/>
  <c r="G15" i="1" s="1"/>
  <c r="E16" i="1"/>
  <c r="E17" i="1"/>
  <c r="E18" i="1"/>
  <c r="E19" i="1"/>
  <c r="E20" i="1"/>
  <c r="E21" i="1"/>
  <c r="H21" i="1" s="1"/>
  <c r="E22" i="1"/>
  <c r="H22" i="1" s="1"/>
  <c r="E23" i="1"/>
  <c r="H23" i="1" s="1"/>
  <c r="E24" i="1"/>
  <c r="E25" i="1"/>
  <c r="E26" i="1"/>
  <c r="E27" i="1"/>
  <c r="H27" i="1" s="1"/>
  <c r="E28" i="1"/>
  <c r="H28" i="1" s="1"/>
  <c r="E29" i="1"/>
  <c r="E30" i="1"/>
  <c r="H30" i="1" s="1"/>
  <c r="E31" i="1"/>
  <c r="H31" i="1" s="1"/>
  <c r="E32" i="1"/>
  <c r="E33" i="1"/>
  <c r="E34" i="1"/>
  <c r="E35" i="1"/>
  <c r="G35" i="1" s="1"/>
  <c r="H29" i="1"/>
  <c r="B47" i="1"/>
  <c r="J36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5" i="1"/>
  <c r="B42" i="1"/>
  <c r="B44" i="1"/>
  <c r="H16" i="1"/>
  <c r="H17" i="1"/>
  <c r="H18" i="1"/>
  <c r="H19" i="1"/>
  <c r="H20" i="1"/>
  <c r="H24" i="1"/>
  <c r="H25" i="1"/>
  <c r="H26" i="1"/>
  <c r="H32" i="1"/>
  <c r="H33" i="1"/>
  <c r="H34" i="1"/>
  <c r="H35" i="1"/>
  <c r="H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2" i="1"/>
  <c r="G33" i="1"/>
  <c r="G34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5" i="1"/>
  <c r="B40" i="1"/>
  <c r="B39" i="1"/>
  <c r="D36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15" i="1"/>
  <c r="C36" i="1"/>
  <c r="A36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5" i="1"/>
  <c r="B36" i="1"/>
  <c r="N9" i="1" l="1"/>
  <c r="O7" i="1" s="1"/>
  <c r="D9" i="1"/>
  <c r="E8" i="1" s="1"/>
  <c r="G8" i="1" s="1"/>
  <c r="I8" i="1" s="1"/>
  <c r="G31" i="1"/>
  <c r="G36" i="1" s="1"/>
  <c r="B41" i="1" s="1"/>
  <c r="H36" i="1"/>
  <c r="G30" i="1"/>
  <c r="E4" i="1" l="1"/>
  <c r="G4" i="1" s="1"/>
  <c r="I4" i="1" s="1"/>
  <c r="E6" i="1"/>
  <c r="G6" i="1" s="1"/>
  <c r="I6" i="1" s="1"/>
  <c r="E5" i="1"/>
  <c r="G5" i="1" s="1"/>
  <c r="I5" i="1" s="1"/>
  <c r="E7" i="1"/>
  <c r="G7" i="1" s="1"/>
  <c r="I7" i="1" s="1"/>
  <c r="O4" i="1"/>
  <c r="O5" i="1"/>
  <c r="O6" i="1"/>
  <c r="O8" i="1"/>
  <c r="B43" i="1"/>
  <c r="B45" i="1" s="1"/>
  <c r="I9" i="1" l="1"/>
  <c r="J8" i="1" s="1"/>
  <c r="B46" i="1"/>
  <c r="J5" i="1" l="1"/>
  <c r="J7" i="1"/>
  <c r="J6" i="1"/>
  <c r="J4" i="1"/>
</calcChain>
</file>

<file path=xl/sharedStrings.xml><?xml version="1.0" encoding="utf-8"?>
<sst xmlns="http://schemas.openxmlformats.org/spreadsheetml/2006/main" count="43" uniqueCount="29">
  <si>
    <t>Prior</t>
  </si>
  <si>
    <t>Likelihood</t>
  </si>
  <si>
    <t>Prior*Likelihood</t>
  </si>
  <si>
    <t>Posterior</t>
  </si>
  <si>
    <t>concentration</t>
  </si>
  <si>
    <t>strength</t>
  </si>
  <si>
    <t>x*y</t>
  </si>
  <si>
    <t>x^2</t>
  </si>
  <si>
    <t>B1</t>
  </si>
  <si>
    <t>B0</t>
  </si>
  <si>
    <t>S</t>
  </si>
  <si>
    <t>y-Y</t>
  </si>
  <si>
    <t>(x-X)(y-Y)</t>
  </si>
  <si>
    <r>
      <t>σ(</t>
    </r>
    <r>
      <rPr>
        <sz val="11"/>
        <color theme="1"/>
        <rFont val="Calibri"/>
        <family val="2"/>
      </rPr>
      <t>ỹ)</t>
    </r>
  </si>
  <si>
    <t>(x-X)^2</t>
  </si>
  <si>
    <t>t(ỹ)</t>
  </si>
  <si>
    <t>(from t-val estimation ipynb in notes)</t>
  </si>
  <si>
    <t>ỹ</t>
  </si>
  <si>
    <t>Interval Lower Bound</t>
  </si>
  <si>
    <t>Interval Upper Bound</t>
  </si>
  <si>
    <t>y-ỹ</t>
  </si>
  <si>
    <t>s</t>
  </si>
  <si>
    <r>
      <t>σ(B0</t>
    </r>
    <r>
      <rPr>
        <sz val="11"/>
        <color theme="1"/>
        <rFont val="Calibri"/>
        <family val="2"/>
      </rPr>
      <t>)</t>
    </r>
  </si>
  <si>
    <t>Number One</t>
  </si>
  <si>
    <t>First Try</t>
  </si>
  <si>
    <t>Second Try</t>
  </si>
  <si>
    <t>Number Three</t>
  </si>
  <si>
    <t>Flat Prior First Try</t>
  </si>
  <si>
    <t>Flat Prior Second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</si>
</sst>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034A4-A2EF-4676-9D08-6BE336EB3607}">
  <dimension ref="A1:T48"/>
  <sheetViews>
    <sheetView tabSelected="1" workbookViewId="0">
      <selection activeCell="R12" sqref="R12"/>
    </sheetView>
  </sheetViews>
  <sheetFormatPr defaultRowHeight="14.4" x14ac:dyDescent="0.3"/>
  <cols>
    <col min="1" max="1" width="35.109375" customWidth="1"/>
    <col min="4" max="4" width="11.6640625" bestFit="1" customWidth="1"/>
    <col min="19" max="19" width="12" bestFit="1" customWidth="1"/>
  </cols>
  <sheetData>
    <row r="1" spans="1:20" x14ac:dyDescent="0.3">
      <c r="A1" s="1" t="s">
        <v>23</v>
      </c>
    </row>
    <row r="2" spans="1:20" x14ac:dyDescent="0.3">
      <c r="B2" s="2" t="s">
        <v>24</v>
      </c>
      <c r="C2" s="2"/>
      <c r="D2" s="2"/>
      <c r="E2" s="2"/>
      <c r="G2" s="2" t="s">
        <v>25</v>
      </c>
      <c r="H2" s="2"/>
      <c r="I2" s="2"/>
      <c r="J2" s="2"/>
      <c r="L2" s="2" t="s">
        <v>27</v>
      </c>
      <c r="M2" s="2"/>
      <c r="N2" s="2"/>
      <c r="O2" s="2"/>
      <c r="Q2" s="2" t="s">
        <v>28</v>
      </c>
      <c r="R2" s="2"/>
      <c r="S2" s="2"/>
      <c r="T2" s="2"/>
    </row>
    <row r="3" spans="1:20" x14ac:dyDescent="0.3">
      <c r="B3" t="s">
        <v>0</v>
      </c>
      <c r="C3" t="s">
        <v>1</v>
      </c>
      <c r="D3" t="s">
        <v>2</v>
      </c>
      <c r="E3" t="s">
        <v>3</v>
      </c>
      <c r="G3" t="s">
        <v>0</v>
      </c>
      <c r="H3" t="s">
        <v>1</v>
      </c>
      <c r="I3" t="s">
        <v>2</v>
      </c>
      <c r="J3" t="s">
        <v>3</v>
      </c>
      <c r="L3" t="s">
        <v>0</v>
      </c>
      <c r="M3" t="s">
        <v>1</v>
      </c>
      <c r="N3" t="s">
        <v>2</v>
      </c>
      <c r="O3" t="s">
        <v>3</v>
      </c>
      <c r="Q3" t="s">
        <v>0</v>
      </c>
      <c r="R3" t="s">
        <v>1</v>
      </c>
      <c r="S3" t="s">
        <v>2</v>
      </c>
      <c r="T3" t="s">
        <v>3</v>
      </c>
    </row>
    <row r="4" spans="1:20" x14ac:dyDescent="0.3">
      <c r="A4">
        <v>4</v>
      </c>
      <c r="B4">
        <v>0.04</v>
      </c>
      <c r="C4">
        <f>POWER(1/$A4,3)</f>
        <v>1.5625E-2</v>
      </c>
      <c r="D4">
        <f>B4*C4</f>
        <v>6.2500000000000001E-4</v>
      </c>
      <c r="E4">
        <f>D4/$D$9</f>
        <v>0.23117427972087845</v>
      </c>
      <c r="G4">
        <f>E4</f>
        <v>0.23117427972087845</v>
      </c>
      <c r="H4">
        <v>0</v>
      </c>
      <c r="I4">
        <f>H4*G4</f>
        <v>0</v>
      </c>
      <c r="J4">
        <f>I4/$I$9</f>
        <v>0</v>
      </c>
      <c r="L4">
        <v>0.2</v>
      </c>
      <c r="M4">
        <f>C4</f>
        <v>1.5625E-2</v>
      </c>
      <c r="N4">
        <f>M4*L4</f>
        <v>3.1250000000000002E-3</v>
      </c>
      <c r="O4">
        <f>N4/$N$9</f>
        <v>0.65688635865995171</v>
      </c>
      <c r="Q4">
        <f>O4</f>
        <v>0.65688635865995171</v>
      </c>
      <c r="R4">
        <v>0</v>
      </c>
      <c r="S4">
        <f>R4*Q4</f>
        <v>0</v>
      </c>
      <c r="T4">
        <f>S4/$S$9</f>
        <v>0</v>
      </c>
    </row>
    <row r="5" spans="1:20" x14ac:dyDescent="0.3">
      <c r="A5">
        <v>6</v>
      </c>
      <c r="B5">
        <v>0.3</v>
      </c>
      <c r="C5">
        <f t="shared" ref="C5:C8" si="0">POWER(1/$A5,3)</f>
        <v>4.6296296296296294E-3</v>
      </c>
      <c r="D5">
        <f t="shared" ref="D5:D8" si="1">B5*C5</f>
        <v>1.3888888888888887E-3</v>
      </c>
      <c r="E5">
        <f>D5/$D$9</f>
        <v>0.51372062160195209</v>
      </c>
      <c r="G5">
        <f t="shared" ref="G5:G9" si="2">E5</f>
        <v>0.51372062160195209</v>
      </c>
      <c r="H5">
        <v>0</v>
      </c>
      <c r="I5">
        <f t="shared" ref="I5:I8" si="3">H5*G5</f>
        <v>0</v>
      </c>
      <c r="J5">
        <f>I5/$I$9</f>
        <v>0</v>
      </c>
      <c r="L5">
        <v>0.2</v>
      </c>
      <c r="M5">
        <f t="shared" ref="M5:M8" si="4">C5</f>
        <v>4.6296296296296294E-3</v>
      </c>
      <c r="N5">
        <f t="shared" ref="N5:N8" si="5">M5*L5</f>
        <v>9.2592592592592596E-4</v>
      </c>
      <c r="O5">
        <f>N5/$N$9</f>
        <v>0.19463299515850421</v>
      </c>
      <c r="Q5">
        <f t="shared" ref="Q5:Q8" si="6">O5</f>
        <v>0.19463299515850421</v>
      </c>
      <c r="R5">
        <v>0</v>
      </c>
      <c r="S5">
        <f t="shared" ref="S5:S8" si="7">R5*Q5</f>
        <v>0</v>
      </c>
      <c r="T5">
        <f t="shared" ref="T5:T8" si="8">S5/$S$9</f>
        <v>0</v>
      </c>
    </row>
    <row r="6" spans="1:20" x14ac:dyDescent="0.3">
      <c r="A6">
        <v>8</v>
      </c>
      <c r="B6">
        <v>0.04</v>
      </c>
      <c r="C6">
        <f t="shared" si="0"/>
        <v>1.953125E-3</v>
      </c>
      <c r="D6">
        <f t="shared" si="1"/>
        <v>7.8125000000000002E-5</v>
      </c>
      <c r="E6">
        <f>D6/$D$9</f>
        <v>2.8896784965109806E-2</v>
      </c>
      <c r="G6">
        <f t="shared" si="2"/>
        <v>2.8896784965109806E-2</v>
      </c>
      <c r="H6">
        <f>POWER(1/A6,3)</f>
        <v>1.953125E-3</v>
      </c>
      <c r="I6">
        <f t="shared" si="3"/>
        <v>5.643903313498009E-5</v>
      </c>
      <c r="J6">
        <f>I6/$I$9</f>
        <v>0.20096237878412429</v>
      </c>
      <c r="L6">
        <v>0.2</v>
      </c>
      <c r="M6">
        <f t="shared" si="4"/>
        <v>1.953125E-3</v>
      </c>
      <c r="N6">
        <f t="shared" si="5"/>
        <v>3.9062500000000002E-4</v>
      </c>
      <c r="O6">
        <f>N6/$N$9</f>
        <v>8.2110794832493963E-2</v>
      </c>
      <c r="Q6">
        <f t="shared" si="6"/>
        <v>8.2110794832493963E-2</v>
      </c>
      <c r="R6">
        <f>N6</f>
        <v>3.9062500000000002E-4</v>
      </c>
      <c r="S6">
        <f t="shared" si="7"/>
        <v>3.2074529231442956E-5</v>
      </c>
      <c r="T6">
        <f t="shared" si="8"/>
        <v>0.36367901644112505</v>
      </c>
    </row>
    <row r="7" spans="1:20" x14ac:dyDescent="0.3">
      <c r="A7">
        <v>10</v>
      </c>
      <c r="B7">
        <v>0.6</v>
      </c>
      <c r="C7">
        <f t="shared" si="0"/>
        <v>1.0000000000000002E-3</v>
      </c>
      <c r="D7">
        <f t="shared" si="1"/>
        <v>6.0000000000000016E-4</v>
      </c>
      <c r="E7">
        <f>D7/$D$9</f>
        <v>0.22192730853204337</v>
      </c>
      <c r="G7">
        <f t="shared" si="2"/>
        <v>0.22192730853204337</v>
      </c>
      <c r="H7">
        <f t="shared" ref="H7:H8" si="9">POWER(1/A7,3)</f>
        <v>1.0000000000000002E-3</v>
      </c>
      <c r="I7">
        <f t="shared" si="3"/>
        <v>2.2192730853204341E-4</v>
      </c>
      <c r="J7">
        <f>I7/$I$9</f>
        <v>0.79021622735978259</v>
      </c>
      <c r="L7">
        <v>0.2</v>
      </c>
      <c r="M7">
        <f t="shared" si="4"/>
        <v>1.0000000000000002E-3</v>
      </c>
      <c r="N7">
        <f t="shared" si="5"/>
        <v>2.0000000000000006E-4</v>
      </c>
      <c r="O7">
        <f>N7/$N$9</f>
        <v>4.2040726954236926E-2</v>
      </c>
      <c r="Q7">
        <f t="shared" si="6"/>
        <v>4.2040726954236926E-2</v>
      </c>
      <c r="R7">
        <f>M7</f>
        <v>1.0000000000000002E-3</v>
      </c>
      <c r="S7">
        <f t="shared" si="7"/>
        <v>4.2040726954236937E-5</v>
      </c>
      <c r="T7">
        <f t="shared" si="8"/>
        <v>0.47668136042971176</v>
      </c>
    </row>
    <row r="8" spans="1:20" x14ac:dyDescent="0.3">
      <c r="A8">
        <v>12</v>
      </c>
      <c r="B8">
        <v>0.02</v>
      </c>
      <c r="C8">
        <f t="shared" si="0"/>
        <v>5.7870370370370367E-4</v>
      </c>
      <c r="D8">
        <f t="shared" si="1"/>
        <v>1.1574074074074073E-5</v>
      </c>
      <c r="E8">
        <f>D8/$D$9</f>
        <v>4.2810051800162676E-3</v>
      </c>
      <c r="G8">
        <f t="shared" si="2"/>
        <v>4.2810051800162676E-3</v>
      </c>
      <c r="H8">
        <f t="shared" si="9"/>
        <v>5.7870370370370367E-4</v>
      </c>
      <c r="I8">
        <f t="shared" si="3"/>
        <v>2.4774335532501545E-6</v>
      </c>
      <c r="J8">
        <f>I8/$I$9</f>
        <v>8.8213938560932469E-3</v>
      </c>
      <c r="L8">
        <v>0.2</v>
      </c>
      <c r="M8">
        <f t="shared" si="4"/>
        <v>5.7870370370370367E-4</v>
      </c>
      <c r="N8">
        <f t="shared" si="5"/>
        <v>1.1574074074074075E-4</v>
      </c>
      <c r="O8">
        <f>N8/$N$9</f>
        <v>2.4329124394813027E-2</v>
      </c>
      <c r="Q8">
        <f t="shared" si="6"/>
        <v>2.4329124394813027E-2</v>
      </c>
      <c r="R8">
        <f>M8</f>
        <v>5.7870370370370367E-4</v>
      </c>
      <c r="S8">
        <f t="shared" si="7"/>
        <v>1.4079354395146427E-5</v>
      </c>
      <c r="T8">
        <f t="shared" si="8"/>
        <v>0.15963962312916324</v>
      </c>
    </row>
    <row r="9" spans="1:20" x14ac:dyDescent="0.3">
      <c r="D9">
        <f>SUM(D4:D8)</f>
        <v>2.7035879629629632E-3</v>
      </c>
      <c r="I9">
        <f>SUM(I4:I8)</f>
        <v>2.8084377522027363E-4</v>
      </c>
      <c r="N9">
        <f>SUM(N4:N8)</f>
        <v>4.7572916666666675E-3</v>
      </c>
      <c r="S9">
        <f>SUM(S4:S8)</f>
        <v>8.8194610580826313E-5</v>
      </c>
    </row>
    <row r="12" spans="1:20" x14ac:dyDescent="0.3">
      <c r="A12" s="1" t="s">
        <v>26</v>
      </c>
    </row>
    <row r="14" spans="1:20" x14ac:dyDescent="0.3">
      <c r="A14" t="s">
        <v>4</v>
      </c>
      <c r="B14" t="s">
        <v>5</v>
      </c>
      <c r="C14" t="s">
        <v>6</v>
      </c>
      <c r="D14" t="s">
        <v>7</v>
      </c>
      <c r="E14" t="s">
        <v>14</v>
      </c>
      <c r="F14" t="s">
        <v>11</v>
      </c>
      <c r="G14" t="s">
        <v>12</v>
      </c>
      <c r="H14" t="s">
        <v>14</v>
      </c>
      <c r="I14" t="s">
        <v>17</v>
      </c>
      <c r="J14" t="s">
        <v>20</v>
      </c>
    </row>
    <row r="15" spans="1:20" x14ac:dyDescent="0.3">
      <c r="A15">
        <v>10</v>
      </c>
      <c r="B15">
        <v>205.8892793</v>
      </c>
      <c r="C15">
        <f>A15*B15</f>
        <v>2058.892793</v>
      </c>
      <c r="D15">
        <f>A15*A15</f>
        <v>100</v>
      </c>
      <c r="E15">
        <f>A15-$A$36</f>
        <v>-20</v>
      </c>
      <c r="F15">
        <f>B15-$B$36</f>
        <v>-25.400714385714338</v>
      </c>
      <c r="G15">
        <f>E15*F15</f>
        <v>508.01428771428675</v>
      </c>
      <c r="H15">
        <f>E15*E15</f>
        <v>400</v>
      </c>
      <c r="I15">
        <f>$B$39*A15+$B$40</f>
        <v>212.20341635324687</v>
      </c>
      <c r="J15">
        <f>POWER((B15-I15),2)</f>
        <v>39.868326727185028</v>
      </c>
    </row>
    <row r="16" spans="1:20" x14ac:dyDescent="0.3">
      <c r="A16">
        <v>12</v>
      </c>
      <c r="B16">
        <v>215.521646</v>
      </c>
      <c r="C16">
        <f t="shared" ref="C16:C35" si="10">A16*B16</f>
        <v>2586.2597519999999</v>
      </c>
      <c r="D16">
        <f t="shared" ref="D16:D35" si="11">A16*A16</f>
        <v>144</v>
      </c>
      <c r="E16">
        <f t="shared" ref="E16:E35" si="12">A16-$A$36</f>
        <v>-18</v>
      </c>
      <c r="F16">
        <f t="shared" ref="F16:F35" si="13">B16-$B$36</f>
        <v>-15.768347685714332</v>
      </c>
      <c r="G16">
        <f t="shared" ref="G16:G35" si="14">E16*F16</f>
        <v>283.83025834285797</v>
      </c>
      <c r="H16">
        <f t="shared" ref="H16:H35" si="15">E16*E16</f>
        <v>324</v>
      </c>
      <c r="I16">
        <f t="shared" ref="I16:I35" si="16">$B$39*A16+$B$40</f>
        <v>214.11207408649361</v>
      </c>
      <c r="J16">
        <f t="shared" ref="J16:J35" si="17">POWER((B16-I16),2)</f>
        <v>1.9868929793460866</v>
      </c>
    </row>
    <row r="17" spans="1:10" x14ac:dyDescent="0.3">
      <c r="A17">
        <v>14</v>
      </c>
      <c r="B17">
        <v>217.3246632</v>
      </c>
      <c r="C17">
        <f t="shared" si="10"/>
        <v>3042.5452848</v>
      </c>
      <c r="D17">
        <f t="shared" si="11"/>
        <v>196</v>
      </c>
      <c r="E17">
        <f t="shared" si="12"/>
        <v>-16</v>
      </c>
      <c r="F17">
        <f t="shared" si="13"/>
        <v>-13.965330485714333</v>
      </c>
      <c r="G17">
        <f t="shared" si="14"/>
        <v>223.44528777142932</v>
      </c>
      <c r="H17">
        <f t="shared" si="15"/>
        <v>256</v>
      </c>
      <c r="I17">
        <f t="shared" si="16"/>
        <v>216.02073181974038</v>
      </c>
      <c r="J17">
        <f t="shared" si="17"/>
        <v>1.7002370444257755</v>
      </c>
    </row>
    <row r="18" spans="1:10" x14ac:dyDescent="0.3">
      <c r="A18">
        <v>16</v>
      </c>
      <c r="B18">
        <v>222.17823530000001</v>
      </c>
      <c r="C18">
        <f t="shared" si="10"/>
        <v>3554.8517648000002</v>
      </c>
      <c r="D18">
        <f t="shared" si="11"/>
        <v>256</v>
      </c>
      <c r="E18">
        <f t="shared" si="12"/>
        <v>-14</v>
      </c>
      <c r="F18">
        <f t="shared" si="13"/>
        <v>-9.1117583857143245</v>
      </c>
      <c r="G18">
        <f t="shared" si="14"/>
        <v>127.56461740000054</v>
      </c>
      <c r="H18">
        <f t="shared" si="15"/>
        <v>196</v>
      </c>
      <c r="I18">
        <f t="shared" si="16"/>
        <v>217.92938955298712</v>
      </c>
      <c r="J18">
        <f t="shared" si="17"/>
        <v>18.052690181909554</v>
      </c>
    </row>
    <row r="19" spans="1:10" x14ac:dyDescent="0.3">
      <c r="A19">
        <v>18</v>
      </c>
      <c r="B19">
        <v>215.9815768</v>
      </c>
      <c r="C19">
        <f t="shared" si="10"/>
        <v>3887.6683824000002</v>
      </c>
      <c r="D19">
        <f t="shared" si="11"/>
        <v>324</v>
      </c>
      <c r="E19">
        <f t="shared" si="12"/>
        <v>-12</v>
      </c>
      <c r="F19">
        <f t="shared" si="13"/>
        <v>-15.308416885714337</v>
      </c>
      <c r="G19">
        <f t="shared" si="14"/>
        <v>183.70100262857204</v>
      </c>
      <c r="H19">
        <f t="shared" si="15"/>
        <v>144</v>
      </c>
      <c r="I19">
        <f t="shared" si="16"/>
        <v>219.83804728623386</v>
      </c>
      <c r="J19">
        <f t="shared" si="17"/>
        <v>14.872364611192825</v>
      </c>
    </row>
    <row r="20" spans="1:10" x14ac:dyDescent="0.3">
      <c r="A20">
        <v>20</v>
      </c>
      <c r="B20">
        <v>227.75642980000001</v>
      </c>
      <c r="C20">
        <f t="shared" si="10"/>
        <v>4555.1285960000005</v>
      </c>
      <c r="D20">
        <f t="shared" si="11"/>
        <v>400</v>
      </c>
      <c r="E20">
        <f t="shared" si="12"/>
        <v>-10</v>
      </c>
      <c r="F20">
        <f t="shared" si="13"/>
        <v>-3.5335638857143294</v>
      </c>
      <c r="G20">
        <f t="shared" si="14"/>
        <v>35.335638857143294</v>
      </c>
      <c r="H20">
        <f t="shared" si="15"/>
        <v>100</v>
      </c>
      <c r="I20">
        <f t="shared" si="16"/>
        <v>221.7467050194806</v>
      </c>
      <c r="J20">
        <f t="shared" si="17"/>
        <v>36.116791937589021</v>
      </c>
    </row>
    <row r="21" spans="1:10" x14ac:dyDescent="0.3">
      <c r="A21">
        <v>22</v>
      </c>
      <c r="B21">
        <v>221.85044920000001</v>
      </c>
      <c r="C21">
        <f t="shared" si="10"/>
        <v>4880.7098824000004</v>
      </c>
      <c r="D21">
        <f t="shared" si="11"/>
        <v>484</v>
      </c>
      <c r="E21">
        <f t="shared" si="12"/>
        <v>-8</v>
      </c>
      <c r="F21">
        <f t="shared" si="13"/>
        <v>-9.4395444857143218</v>
      </c>
      <c r="G21">
        <f t="shared" si="14"/>
        <v>75.516355885714574</v>
      </c>
      <c r="H21">
        <f t="shared" si="15"/>
        <v>64</v>
      </c>
      <c r="I21">
        <f t="shared" si="16"/>
        <v>223.65536275272734</v>
      </c>
      <c r="J21">
        <f t="shared" si="17"/>
        <v>3.2577129328187846</v>
      </c>
    </row>
    <row r="22" spans="1:10" x14ac:dyDescent="0.3">
      <c r="A22">
        <v>24</v>
      </c>
      <c r="B22">
        <v>231.29763310000001</v>
      </c>
      <c r="C22">
        <f t="shared" si="10"/>
        <v>5551.1431944000005</v>
      </c>
      <c r="D22">
        <f t="shared" si="11"/>
        <v>576</v>
      </c>
      <c r="E22">
        <f t="shared" si="12"/>
        <v>-6</v>
      </c>
      <c r="F22">
        <f t="shared" si="13"/>
        <v>7.6394142856770486E-3</v>
      </c>
      <c r="G22">
        <f t="shared" si="14"/>
        <v>-4.5836485714062292E-2</v>
      </c>
      <c r="H22">
        <f t="shared" si="15"/>
        <v>36</v>
      </c>
      <c r="I22">
        <f t="shared" si="16"/>
        <v>225.56402048597411</v>
      </c>
      <c r="J22">
        <f t="shared" si="17"/>
        <v>32.874313607716928</v>
      </c>
    </row>
    <row r="23" spans="1:10" x14ac:dyDescent="0.3">
      <c r="A23">
        <v>26</v>
      </c>
      <c r="B23">
        <v>225.26885659999999</v>
      </c>
      <c r="C23">
        <f t="shared" si="10"/>
        <v>5856.9902715999997</v>
      </c>
      <c r="D23">
        <f t="shared" si="11"/>
        <v>676</v>
      </c>
      <c r="E23">
        <f t="shared" si="12"/>
        <v>-4</v>
      </c>
      <c r="F23">
        <f t="shared" si="13"/>
        <v>-6.0211370857143436</v>
      </c>
      <c r="G23">
        <f t="shared" si="14"/>
        <v>24.084548342857374</v>
      </c>
      <c r="H23">
        <f t="shared" si="15"/>
        <v>16</v>
      </c>
      <c r="I23">
        <f t="shared" si="16"/>
        <v>227.47267821922085</v>
      </c>
      <c r="J23">
        <f t="shared" si="17"/>
        <v>4.8568297293452574</v>
      </c>
    </row>
    <row r="24" spans="1:10" x14ac:dyDescent="0.3">
      <c r="A24">
        <v>28</v>
      </c>
      <c r="B24">
        <v>226.05806680000001</v>
      </c>
      <c r="C24">
        <f t="shared" si="10"/>
        <v>6329.6258704000002</v>
      </c>
      <c r="D24">
        <f t="shared" si="11"/>
        <v>784</v>
      </c>
      <c r="E24">
        <f t="shared" si="12"/>
        <v>-2</v>
      </c>
      <c r="F24">
        <f t="shared" si="13"/>
        <v>-5.23192688571433</v>
      </c>
      <c r="G24">
        <f t="shared" si="14"/>
        <v>10.46385377142866</v>
      </c>
      <c r="H24">
        <f t="shared" si="15"/>
        <v>4</v>
      </c>
      <c r="I24">
        <f t="shared" si="16"/>
        <v>229.38133595246759</v>
      </c>
      <c r="J24">
        <f t="shared" si="17"/>
        <v>11.044117859742645</v>
      </c>
    </row>
    <row r="25" spans="1:10" x14ac:dyDescent="0.3">
      <c r="A25">
        <v>30</v>
      </c>
      <c r="B25">
        <v>231.99914150000001</v>
      </c>
      <c r="C25">
        <f t="shared" si="10"/>
        <v>6959.9742450000003</v>
      </c>
      <c r="D25">
        <f t="shared" si="11"/>
        <v>900</v>
      </c>
      <c r="E25">
        <f t="shared" si="12"/>
        <v>0</v>
      </c>
      <c r="F25">
        <f t="shared" si="13"/>
        <v>0.70914781428567153</v>
      </c>
      <c r="G25">
        <f t="shared" si="14"/>
        <v>0</v>
      </c>
      <c r="H25">
        <f t="shared" si="15"/>
        <v>0</v>
      </c>
      <c r="I25">
        <f t="shared" si="16"/>
        <v>231.28999368571434</v>
      </c>
      <c r="J25">
        <f t="shared" si="17"/>
        <v>0.50289062250614525</v>
      </c>
    </row>
    <row r="26" spans="1:10" x14ac:dyDescent="0.3">
      <c r="A26">
        <v>32</v>
      </c>
      <c r="B26">
        <v>237.12581230000001</v>
      </c>
      <c r="C26">
        <f t="shared" si="10"/>
        <v>7588.0259936000002</v>
      </c>
      <c r="D26">
        <f t="shared" si="11"/>
        <v>1024</v>
      </c>
      <c r="E26">
        <f t="shared" si="12"/>
        <v>2</v>
      </c>
      <c r="F26">
        <f t="shared" si="13"/>
        <v>5.8358186142856709</v>
      </c>
      <c r="G26">
        <f t="shared" si="14"/>
        <v>11.671637228571342</v>
      </c>
      <c r="H26">
        <f t="shared" si="15"/>
        <v>4</v>
      </c>
      <c r="I26">
        <f t="shared" si="16"/>
        <v>233.19865141896111</v>
      </c>
      <c r="J26">
        <f t="shared" si="17"/>
        <v>15.422592585562239</v>
      </c>
    </row>
    <row r="27" spans="1:10" x14ac:dyDescent="0.3">
      <c r="A27">
        <v>34</v>
      </c>
      <c r="B27">
        <v>235.64403830000001</v>
      </c>
      <c r="C27">
        <f t="shared" si="10"/>
        <v>8011.8973022</v>
      </c>
      <c r="D27">
        <f t="shared" si="11"/>
        <v>1156</v>
      </c>
      <c r="E27">
        <f t="shared" si="12"/>
        <v>4</v>
      </c>
      <c r="F27">
        <f t="shared" si="13"/>
        <v>4.3540446142856695</v>
      </c>
      <c r="G27">
        <f t="shared" si="14"/>
        <v>17.416178457142678</v>
      </c>
      <c r="H27">
        <f t="shared" si="15"/>
        <v>16</v>
      </c>
      <c r="I27">
        <f t="shared" si="16"/>
        <v>235.10730915220785</v>
      </c>
      <c r="J27">
        <f t="shared" si="17"/>
        <v>0.28807817808969649</v>
      </c>
    </row>
    <row r="28" spans="1:10" x14ac:dyDescent="0.3">
      <c r="A28">
        <v>36</v>
      </c>
      <c r="B28">
        <v>234.65788470000001</v>
      </c>
      <c r="C28">
        <f t="shared" si="10"/>
        <v>8447.6838492000006</v>
      </c>
      <c r="D28">
        <f t="shared" si="11"/>
        <v>1296</v>
      </c>
      <c r="E28">
        <f t="shared" si="12"/>
        <v>6</v>
      </c>
      <c r="F28">
        <f t="shared" si="13"/>
        <v>3.3678910142856751</v>
      </c>
      <c r="G28">
        <f t="shared" si="14"/>
        <v>20.20734608571405</v>
      </c>
      <c r="H28">
        <f t="shared" si="15"/>
        <v>36</v>
      </c>
      <c r="I28">
        <f t="shared" si="16"/>
        <v>237.01596688545459</v>
      </c>
      <c r="J28">
        <f t="shared" si="17"/>
        <v>5.5605515933582366</v>
      </c>
    </row>
    <row r="29" spans="1:10" x14ac:dyDescent="0.3">
      <c r="A29">
        <v>38</v>
      </c>
      <c r="B29">
        <v>233.63512109999999</v>
      </c>
      <c r="C29">
        <f t="shared" si="10"/>
        <v>8878.1346018000004</v>
      </c>
      <c r="D29">
        <f t="shared" si="11"/>
        <v>1444</v>
      </c>
      <c r="E29">
        <f t="shared" si="12"/>
        <v>8</v>
      </c>
      <c r="F29">
        <f t="shared" si="13"/>
        <v>2.3451274142856562</v>
      </c>
      <c r="G29">
        <f t="shared" si="14"/>
        <v>18.761019314285249</v>
      </c>
      <c r="H29">
        <f t="shared" si="15"/>
        <v>64</v>
      </c>
      <c r="I29">
        <f t="shared" si="16"/>
        <v>238.92462461870133</v>
      </c>
      <c r="J29">
        <f t="shared" si="17"/>
        <v>27.978847474353834</v>
      </c>
    </row>
    <row r="30" spans="1:10" x14ac:dyDescent="0.3">
      <c r="A30">
        <v>40</v>
      </c>
      <c r="B30">
        <v>235.39391910000001</v>
      </c>
      <c r="C30">
        <f t="shared" si="10"/>
        <v>9415.7567639999997</v>
      </c>
      <c r="D30">
        <f t="shared" si="11"/>
        <v>1600</v>
      </c>
      <c r="E30">
        <f t="shared" si="12"/>
        <v>10</v>
      </c>
      <c r="F30">
        <f t="shared" si="13"/>
        <v>4.1039254142856691</v>
      </c>
      <c r="G30">
        <f t="shared" si="14"/>
        <v>41.039254142856691</v>
      </c>
      <c r="H30">
        <f t="shared" si="15"/>
        <v>100</v>
      </c>
      <c r="I30">
        <f t="shared" si="16"/>
        <v>240.83328235194807</v>
      </c>
      <c r="J30">
        <f t="shared" si="17"/>
        <v>29.58667258664304</v>
      </c>
    </row>
    <row r="31" spans="1:10" x14ac:dyDescent="0.3">
      <c r="A31">
        <v>42</v>
      </c>
      <c r="B31">
        <v>245.0107314</v>
      </c>
      <c r="C31">
        <f t="shared" si="10"/>
        <v>10290.450718800001</v>
      </c>
      <c r="D31">
        <f t="shared" si="11"/>
        <v>1764</v>
      </c>
      <c r="E31">
        <f t="shared" si="12"/>
        <v>12</v>
      </c>
      <c r="F31">
        <f t="shared" si="13"/>
        <v>13.720737714285661</v>
      </c>
      <c r="G31">
        <f t="shared" si="14"/>
        <v>164.64885257142794</v>
      </c>
      <c r="H31">
        <f t="shared" si="15"/>
        <v>144</v>
      </c>
      <c r="I31">
        <f t="shared" si="16"/>
        <v>242.74194008519481</v>
      </c>
      <c r="J31">
        <f t="shared" si="17"/>
        <v>5.1474140301354394</v>
      </c>
    </row>
    <row r="32" spans="1:10" x14ac:dyDescent="0.3">
      <c r="A32">
        <v>44</v>
      </c>
      <c r="B32">
        <v>248.9588521</v>
      </c>
      <c r="C32">
        <f t="shared" si="10"/>
        <v>10954.189492400001</v>
      </c>
      <c r="D32">
        <f t="shared" si="11"/>
        <v>1936</v>
      </c>
      <c r="E32">
        <f t="shared" si="12"/>
        <v>14</v>
      </c>
      <c r="F32">
        <f t="shared" si="13"/>
        <v>17.668858414285666</v>
      </c>
      <c r="G32">
        <f t="shared" si="14"/>
        <v>247.36401779999932</v>
      </c>
      <c r="H32">
        <f t="shared" si="15"/>
        <v>196</v>
      </c>
      <c r="I32">
        <f t="shared" si="16"/>
        <v>244.65059781844158</v>
      </c>
      <c r="J32">
        <f t="shared" si="17"/>
        <v>18.561054954566451</v>
      </c>
    </row>
    <row r="33" spans="1:10" x14ac:dyDescent="0.3">
      <c r="A33">
        <v>46</v>
      </c>
      <c r="B33">
        <v>246.34282160000001</v>
      </c>
      <c r="C33">
        <f t="shared" si="10"/>
        <v>11331.7697936</v>
      </c>
      <c r="D33">
        <f t="shared" si="11"/>
        <v>2116</v>
      </c>
      <c r="E33">
        <f t="shared" si="12"/>
        <v>16</v>
      </c>
      <c r="F33">
        <f t="shared" si="13"/>
        <v>15.052827914285672</v>
      </c>
      <c r="G33">
        <f t="shared" si="14"/>
        <v>240.84524662857075</v>
      </c>
      <c r="H33">
        <f t="shared" si="15"/>
        <v>256</v>
      </c>
      <c r="I33">
        <f t="shared" si="16"/>
        <v>246.55925555168832</v>
      </c>
      <c r="J33">
        <f t="shared" si="17"/>
        <v>4.6843655443420319E-2</v>
      </c>
    </row>
    <row r="34" spans="1:10" x14ac:dyDescent="0.3">
      <c r="A34">
        <v>48</v>
      </c>
      <c r="B34">
        <v>244.70254059999999</v>
      </c>
      <c r="C34">
        <f t="shared" si="10"/>
        <v>11745.721948799999</v>
      </c>
      <c r="D34">
        <f t="shared" si="11"/>
        <v>2304</v>
      </c>
      <c r="E34">
        <f t="shared" si="12"/>
        <v>18</v>
      </c>
      <c r="F34">
        <f t="shared" si="13"/>
        <v>13.412546914285656</v>
      </c>
      <c r="G34">
        <f t="shared" si="14"/>
        <v>241.42584445714181</v>
      </c>
      <c r="H34">
        <f t="shared" si="15"/>
        <v>324</v>
      </c>
      <c r="I34">
        <f t="shared" si="16"/>
        <v>248.46791328493507</v>
      </c>
      <c r="J34">
        <f t="shared" si="17"/>
        <v>14.178031456455162</v>
      </c>
    </row>
    <row r="35" spans="1:10" x14ac:dyDescent="0.3">
      <c r="A35">
        <v>50</v>
      </c>
      <c r="B35">
        <v>254.49216860000001</v>
      </c>
      <c r="C35">
        <f t="shared" si="10"/>
        <v>12724.60843</v>
      </c>
      <c r="D35">
        <f t="shared" si="11"/>
        <v>2500</v>
      </c>
      <c r="E35">
        <f t="shared" si="12"/>
        <v>20</v>
      </c>
      <c r="F35">
        <f t="shared" si="13"/>
        <v>23.202174914285678</v>
      </c>
      <c r="G35">
        <f t="shared" si="14"/>
        <v>464.04349828571355</v>
      </c>
      <c r="H35">
        <f t="shared" si="15"/>
        <v>400</v>
      </c>
      <c r="I35">
        <f t="shared" si="16"/>
        <v>250.37657101818183</v>
      </c>
      <c r="J35">
        <f t="shared" si="17"/>
        <v>16.938143455467639</v>
      </c>
    </row>
    <row r="36" spans="1:10" x14ac:dyDescent="0.3">
      <c r="A36">
        <f>AVERAGE(A15:A35)</f>
        <v>30</v>
      </c>
      <c r="B36">
        <f>AVERAGE(B15:B35)</f>
        <v>231.28999368571434</v>
      </c>
      <c r="C36">
        <f>SUM(C15:C35)</f>
        <v>148652.02893120001</v>
      </c>
      <c r="D36">
        <f>SUM(D15:D35)</f>
        <v>21980</v>
      </c>
      <c r="G36">
        <f>SUM(G15:G35)</f>
        <v>2939.3329092000004</v>
      </c>
      <c r="H36">
        <f>SUM(H15:H35)</f>
        <v>3080</v>
      </c>
      <c r="J36">
        <f>SUM(J15:J35)</f>
        <v>298.84139820385326</v>
      </c>
    </row>
    <row r="39" spans="1:10" x14ac:dyDescent="0.3">
      <c r="A39" t="s">
        <v>8</v>
      </c>
      <c r="B39">
        <f>(C36-21*A36*B36)/(D36-21*900)</f>
        <v>0.95432886662337379</v>
      </c>
    </row>
    <row r="40" spans="1:10" x14ac:dyDescent="0.3">
      <c r="A40" t="s">
        <v>9</v>
      </c>
      <c r="B40">
        <f>B36-B39*A36</f>
        <v>202.66012768701313</v>
      </c>
    </row>
    <row r="41" spans="1:10" x14ac:dyDescent="0.3">
      <c r="A41" t="s">
        <v>10</v>
      </c>
      <c r="B41">
        <f>G36/20</f>
        <v>146.96664546000002</v>
      </c>
    </row>
    <row r="42" spans="1:10" x14ac:dyDescent="0.3">
      <c r="A42" t="s">
        <v>17</v>
      </c>
      <c r="B42">
        <f>B39*35+B40</f>
        <v>236.06163801883122</v>
      </c>
    </row>
    <row r="43" spans="1:10" x14ac:dyDescent="0.3">
      <c r="A43" t="s">
        <v>13</v>
      </c>
      <c r="B43">
        <f>B41*SQRTPI((1/21)+(25/H36))</f>
        <v>61.498050205772792</v>
      </c>
    </row>
    <row r="44" spans="1:10" x14ac:dyDescent="0.3">
      <c r="A44" t="s">
        <v>15</v>
      </c>
      <c r="B44">
        <f>2.093</f>
        <v>2.093</v>
      </c>
      <c r="C44" t="s">
        <v>16</v>
      </c>
    </row>
    <row r="45" spans="1:10" x14ac:dyDescent="0.3">
      <c r="A45" t="s">
        <v>18</v>
      </c>
      <c r="B45">
        <f>B42-B44*B43</f>
        <v>107.34621893814878</v>
      </c>
    </row>
    <row r="46" spans="1:10" x14ac:dyDescent="0.3">
      <c r="A46" t="s">
        <v>19</v>
      </c>
      <c r="B46">
        <f>B42+B43*B44</f>
        <v>364.77705709951363</v>
      </c>
    </row>
    <row r="47" spans="1:10" x14ac:dyDescent="0.3">
      <c r="A47" t="s">
        <v>21</v>
      </c>
      <c r="B47">
        <f>SQRT(J36/19)</f>
        <v>3.9659166206954057</v>
      </c>
    </row>
    <row r="48" spans="1:10" x14ac:dyDescent="0.3">
      <c r="A48" t="s">
        <v>22</v>
      </c>
      <c r="B48">
        <f>B47*SQRT((1/21)+(900/H36))</f>
        <v>2.3119179547572468</v>
      </c>
    </row>
  </sheetData>
  <mergeCells count="4">
    <mergeCell ref="B2:E2"/>
    <mergeCell ref="G2:J2"/>
    <mergeCell ref="L2:O2"/>
    <mergeCell ref="Q2:T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2022-11-26T23:43:42Z</dcterms:created>
  <dcterms:modified xsi:type="dcterms:W3CDTF">2022-12-01T23:53:12Z</dcterms:modified>
</cp:coreProperties>
</file>