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ire\Desktop\vegan-egg-scrambler\Experimentation and Data Analysis\4-19TestData\"/>
    </mc:Choice>
  </mc:AlternateContent>
  <bookViews>
    <workbookView xWindow="0" yWindow="0" windowWidth="19176" windowHeight="6762"/>
  </bookViews>
  <sheets>
    <sheet name="Unaltered Data" sheetId="1" r:id="rId1"/>
    <sheet name="Altered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1" i="1" l="1"/>
  <c r="Q50" i="1"/>
  <c r="Q49" i="1"/>
  <c r="N44" i="1"/>
  <c r="N42" i="1"/>
  <c r="K43" i="1"/>
  <c r="K42" i="1"/>
  <c r="I50" i="1"/>
  <c r="F51" i="1"/>
  <c r="N51" i="1" s="1"/>
  <c r="F50" i="1"/>
  <c r="K51" i="1" s="1"/>
  <c r="D50" i="1"/>
  <c r="K50" i="1" s="1"/>
  <c r="D51" i="1"/>
  <c r="N50" i="1" s="1"/>
  <c r="B51" i="1"/>
  <c r="N49" i="1" s="1"/>
  <c r="B50" i="1"/>
  <c r="K49" i="1" s="1"/>
  <c r="F44" i="1"/>
  <c r="B44" i="1"/>
  <c r="F43" i="1"/>
  <c r="K44" i="1" s="1"/>
  <c r="D44" i="1"/>
  <c r="N43" i="1" s="1"/>
  <c r="D43" i="1"/>
  <c r="B43" i="1"/>
  <c r="F52" i="1"/>
  <c r="D52" i="1"/>
  <c r="B52" i="1"/>
  <c r="F49" i="1"/>
  <c r="I51" i="1" s="1"/>
  <c r="D49" i="1"/>
  <c r="B49" i="1"/>
  <c r="I49" i="1" s="1"/>
  <c r="F42" i="1"/>
  <c r="I44" i="1" s="1"/>
  <c r="D42" i="1"/>
  <c r="I43" i="1" s="1"/>
  <c r="B42" i="1"/>
  <c r="I42" i="1" s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H9" i="1"/>
  <c r="G9" i="1"/>
  <c r="F9" i="1"/>
  <c r="AA12" i="2" l="1"/>
  <c r="I28" i="2"/>
  <c r="I30" i="2" s="1"/>
  <c r="F28" i="2"/>
  <c r="F30" i="2" s="1"/>
  <c r="C28" i="2"/>
  <c r="C30" i="2" s="1"/>
  <c r="I27" i="2"/>
  <c r="I29" i="2" s="1"/>
  <c r="F27" i="2"/>
  <c r="F29" i="2" s="1"/>
  <c r="C27" i="2"/>
  <c r="C29" i="2" s="1"/>
  <c r="I26" i="2"/>
  <c r="F26" i="2"/>
  <c r="C26" i="2"/>
  <c r="AF16" i="2"/>
  <c r="AG16" i="2" s="1"/>
  <c r="AH16" i="2" s="1"/>
  <c r="Y16" i="2"/>
  <c r="Z16" i="2" s="1"/>
  <c r="V16" i="2"/>
  <c r="AC16" i="2" s="1"/>
  <c r="AD16" i="2" s="1"/>
  <c r="O16" i="2"/>
  <c r="AA16" i="2" s="1"/>
  <c r="AB16" i="2" s="1"/>
  <c r="F16" i="2"/>
  <c r="AF15" i="2"/>
  <c r="AG15" i="2" s="1"/>
  <c r="AH15" i="2" s="1"/>
  <c r="Z15" i="2"/>
  <c r="AA15" i="2" s="1"/>
  <c r="AB15" i="2" s="1"/>
  <c r="Y15" i="2"/>
  <c r="V15" i="2"/>
  <c r="AC15" i="2"/>
  <c r="F15" i="2"/>
  <c r="AF14" i="2"/>
  <c r="AG14" i="2" s="1"/>
  <c r="AH14" i="2" s="1"/>
  <c r="Y14" i="2"/>
  <c r="Z14" i="2" s="1"/>
  <c r="AA14" i="2" s="1"/>
  <c r="AB14" i="2" s="1"/>
  <c r="V14" i="2"/>
  <c r="AC14" i="2"/>
  <c r="F14" i="2"/>
  <c r="AF13" i="2"/>
  <c r="AG13" i="2" s="1"/>
  <c r="AH13" i="2" s="1"/>
  <c r="Y13" i="2"/>
  <c r="I20" i="2" s="1"/>
  <c r="I22" i="2" s="1"/>
  <c r="V13" i="2"/>
  <c r="AC13" i="2" s="1"/>
  <c r="AD13" i="2" s="1"/>
  <c r="I34" i="2"/>
  <c r="I36" i="2" s="1"/>
  <c r="F13" i="2"/>
  <c r="AF12" i="2"/>
  <c r="AG12" i="2" s="1"/>
  <c r="AH12" i="2" s="1"/>
  <c r="Z12" i="2"/>
  <c r="AB12" i="2" s="1"/>
  <c r="Y12" i="2"/>
  <c r="V12" i="2"/>
  <c r="AC12" i="2"/>
  <c r="F12" i="2"/>
  <c r="AF11" i="2"/>
  <c r="AG11" i="2" s="1"/>
  <c r="AH11" i="2" s="1"/>
  <c r="Y11" i="2"/>
  <c r="Z11" i="2" s="1"/>
  <c r="V11" i="2"/>
  <c r="F35" i="2" s="1"/>
  <c r="F37" i="2" s="1"/>
  <c r="F11" i="2"/>
  <c r="AF10" i="2"/>
  <c r="AG10" i="2" s="1"/>
  <c r="AH10" i="2" s="1"/>
  <c r="Y10" i="2"/>
  <c r="W10" i="2"/>
  <c r="V10" i="2"/>
  <c r="I35" i="2" s="1"/>
  <c r="I37" i="2" s="1"/>
  <c r="I21" i="2"/>
  <c r="I23" i="2" s="1"/>
  <c r="C35" i="2"/>
  <c r="C37" i="2" s="1"/>
  <c r="F10" i="2"/>
  <c r="AF9" i="2"/>
  <c r="AG9" i="2" s="1"/>
  <c r="AH9" i="2" s="1"/>
  <c r="AC9" i="2"/>
  <c r="AD9" i="2" s="1"/>
  <c r="Y9" i="2"/>
  <c r="Z9" i="2" s="1"/>
  <c r="V9" i="2"/>
  <c r="I19" i="2"/>
  <c r="I33" i="2"/>
  <c r="F9" i="2"/>
  <c r="AD14" i="2" l="1"/>
  <c r="AE14" i="2" s="1"/>
  <c r="AD15" i="2"/>
  <c r="AE15" i="2" s="1"/>
  <c r="AD12" i="2"/>
  <c r="AE12" i="2" s="1"/>
  <c r="AE13" i="2"/>
  <c r="AE16" i="2"/>
  <c r="AE9" i="2"/>
  <c r="AA11" i="2"/>
  <c r="AB11" i="2" s="1"/>
  <c r="AA13" i="2"/>
  <c r="AB13" i="2" s="1"/>
  <c r="Z10" i="2"/>
  <c r="AA10" i="2" s="1"/>
  <c r="AB10" i="2" s="1"/>
  <c r="C34" i="2"/>
  <c r="C36" i="2" s="1"/>
  <c r="AC11" i="2"/>
  <c r="AG17" i="2"/>
  <c r="AG18" i="2" s="1"/>
  <c r="AG19" i="2" s="1"/>
  <c r="AG20" i="2" s="1"/>
  <c r="C21" i="2"/>
  <c r="C23" i="2" s="1"/>
  <c r="Z13" i="2"/>
  <c r="F19" i="2"/>
  <c r="F21" i="2"/>
  <c r="F23" i="2" s="1"/>
  <c r="F33" i="2"/>
  <c r="F20" i="2"/>
  <c r="F22" i="2" s="1"/>
  <c r="C19" i="2"/>
  <c r="C33" i="2"/>
  <c r="F34" i="2"/>
  <c r="F36" i="2" s="1"/>
  <c r="AA9" i="2"/>
  <c r="AC10" i="2"/>
  <c r="C20" i="2"/>
  <c r="C22" i="2" s="1"/>
  <c r="I28" i="1"/>
  <c r="I30" i="1" s="1"/>
  <c r="F28" i="1"/>
  <c r="F30" i="1" s="1"/>
  <c r="C28" i="1"/>
  <c r="C30" i="1" s="1"/>
  <c r="F27" i="1"/>
  <c r="F29" i="1" s="1"/>
  <c r="C27" i="1"/>
  <c r="C29" i="1" s="1"/>
  <c r="I27" i="1"/>
  <c r="I29" i="1" s="1"/>
  <c r="AE11" i="2" l="1"/>
  <c r="AD11" i="2"/>
  <c r="AD10" i="2"/>
  <c r="AE10" i="2" s="1"/>
  <c r="AD17" i="2"/>
  <c r="AD18" i="2" s="1"/>
  <c r="AD19" i="2" s="1"/>
  <c r="AD20" i="2" s="1"/>
  <c r="AA17" i="2"/>
  <c r="AA18" i="2" s="1"/>
  <c r="AA19" i="2" s="1"/>
  <c r="AA20" i="2" s="1"/>
  <c r="AB9" i="2"/>
  <c r="AB15" i="1"/>
  <c r="AB16" i="1"/>
  <c r="AB14" i="1"/>
  <c r="AB13" i="1"/>
  <c r="I26" i="1"/>
  <c r="F26" i="1"/>
  <c r="C26" i="1"/>
  <c r="Y10" i="1"/>
  <c r="Y11" i="1"/>
  <c r="Y12" i="1"/>
  <c r="Y13" i="1"/>
  <c r="Y14" i="1"/>
  <c r="Y15" i="1"/>
  <c r="Y16" i="1"/>
  <c r="Y9" i="1"/>
  <c r="AB9" i="1"/>
  <c r="AB10" i="1"/>
  <c r="Z10" i="1"/>
  <c r="O9" i="1"/>
  <c r="AF9" i="1" l="1"/>
  <c r="AG9" i="1" s="1"/>
  <c r="O10" i="1"/>
  <c r="O11" i="1"/>
  <c r="O12" i="1"/>
  <c r="O13" i="1"/>
  <c r="O14" i="1"/>
  <c r="O15" i="1"/>
  <c r="O16" i="1"/>
  <c r="AB12" i="1"/>
  <c r="AB11" i="1"/>
  <c r="R10" i="1"/>
  <c r="R9" i="1"/>
  <c r="R12" i="1"/>
  <c r="F57" i="1" l="1"/>
  <c r="K58" i="1" s="1"/>
  <c r="B58" i="1"/>
  <c r="N56" i="1" s="1"/>
  <c r="B59" i="1"/>
  <c r="Q56" i="1" s="1"/>
  <c r="D57" i="1"/>
  <c r="K57" i="1" s="1"/>
  <c r="B57" i="1"/>
  <c r="K56" i="1" s="1"/>
  <c r="F56" i="1"/>
  <c r="I58" i="1" s="1"/>
  <c r="F58" i="1"/>
  <c r="N58" i="1" s="1"/>
  <c r="F59" i="1"/>
  <c r="Q58" i="1" s="1"/>
  <c r="D56" i="1"/>
  <c r="I57" i="1" s="1"/>
  <c r="D58" i="1"/>
  <c r="N57" i="1" s="1"/>
  <c r="D59" i="1"/>
  <c r="Q57" i="1" s="1"/>
  <c r="B56" i="1"/>
  <c r="I56" i="1" s="1"/>
  <c r="AF15" i="1"/>
  <c r="AG15" i="1" s="1"/>
  <c r="AH15" i="1" s="1"/>
  <c r="AF10" i="1"/>
  <c r="AG10" i="1" s="1"/>
  <c r="AH10" i="1" s="1"/>
  <c r="I34" i="1"/>
  <c r="I36" i="1" s="1"/>
  <c r="AF13" i="1"/>
  <c r="AG13" i="1" s="1"/>
  <c r="AH13" i="1" s="1"/>
  <c r="AF11" i="1"/>
  <c r="AG11" i="1" s="1"/>
  <c r="AH11" i="1" s="1"/>
  <c r="AF14" i="1"/>
  <c r="AG14" i="1" s="1"/>
  <c r="AH14" i="1" s="1"/>
  <c r="AF16" i="1"/>
  <c r="AG16" i="1" s="1"/>
  <c r="AH16" i="1" s="1"/>
  <c r="AF12" i="1"/>
  <c r="AG12" i="1" s="1"/>
  <c r="AH12" i="1" s="1"/>
  <c r="F34" i="1"/>
  <c r="F36" i="1" s="1"/>
  <c r="I35" i="1"/>
  <c r="I37" i="1" s="1"/>
  <c r="C35" i="1"/>
  <c r="C37" i="1" s="1"/>
  <c r="C34" i="1"/>
  <c r="C36" i="1" s="1"/>
  <c r="F35" i="1"/>
  <c r="F37" i="1" s="1"/>
  <c r="I33" i="1"/>
  <c r="F33" i="1"/>
  <c r="C33" i="1"/>
  <c r="R11" i="1"/>
  <c r="AC11" i="1" s="1"/>
  <c r="AD11" i="1" s="1"/>
  <c r="AE11" i="1" s="1"/>
  <c r="R13" i="1"/>
  <c r="R16" i="1"/>
  <c r="C21" i="1" s="1"/>
  <c r="C23" i="1" s="1"/>
  <c r="AI10" i="1"/>
  <c r="AJ10" i="1" s="1"/>
  <c r="AK10" i="1" s="1"/>
  <c r="AI11" i="1"/>
  <c r="AJ11" i="1" s="1"/>
  <c r="AK11" i="1" s="1"/>
  <c r="AI12" i="1"/>
  <c r="AJ12" i="1" s="1"/>
  <c r="AK12" i="1" s="1"/>
  <c r="AI13" i="1"/>
  <c r="AJ13" i="1" s="1"/>
  <c r="AK13" i="1" s="1"/>
  <c r="AI14" i="1"/>
  <c r="AJ14" i="1" s="1"/>
  <c r="AK14" i="1" s="1"/>
  <c r="AI15" i="1"/>
  <c r="AJ15" i="1" s="1"/>
  <c r="AK15" i="1" s="1"/>
  <c r="AI16" i="1"/>
  <c r="AJ16" i="1" s="1"/>
  <c r="AK16" i="1" s="1"/>
  <c r="AI9" i="1"/>
  <c r="AJ9" i="1" s="1"/>
  <c r="AC9" i="1"/>
  <c r="AD9" i="1" s="1"/>
  <c r="AC10" i="1"/>
  <c r="AD10" i="1" s="1"/>
  <c r="AE10" i="1" s="1"/>
  <c r="AC12" i="1"/>
  <c r="AD12" i="1" s="1"/>
  <c r="AE12" i="1" s="1"/>
  <c r="AC13" i="1"/>
  <c r="AD13" i="1" s="1"/>
  <c r="AE13" i="1" s="1"/>
  <c r="AC14" i="1"/>
  <c r="AD14" i="1" s="1"/>
  <c r="AE14" i="1" s="1"/>
  <c r="AC15" i="1"/>
  <c r="AD15" i="1" s="1"/>
  <c r="AE15" i="1" s="1"/>
  <c r="I10" i="1"/>
  <c r="I11" i="1"/>
  <c r="I12" i="1"/>
  <c r="I13" i="1"/>
  <c r="I14" i="1"/>
  <c r="I15" i="1"/>
  <c r="I16" i="1"/>
  <c r="I9" i="1"/>
  <c r="C20" i="1" l="1"/>
  <c r="C22" i="1" s="1"/>
  <c r="AE9" i="1"/>
  <c r="AK9" i="1"/>
  <c r="AJ17" i="1"/>
  <c r="AH9" i="1"/>
  <c r="AG17" i="1"/>
  <c r="AD18" i="1" s="1"/>
  <c r="AD19" i="1" s="1"/>
  <c r="AD20" i="1" s="1"/>
  <c r="I20" i="1"/>
  <c r="I21" i="1"/>
  <c r="I23" i="1" s="1"/>
  <c r="C19" i="1"/>
  <c r="F20" i="1"/>
  <c r="F22" i="1" s="1"/>
  <c r="I19" i="1"/>
  <c r="I22" i="1"/>
  <c r="AC16" i="1"/>
  <c r="F19" i="1"/>
  <c r="F21" i="1"/>
  <c r="F23" i="1" s="1"/>
  <c r="AD16" i="1" l="1"/>
  <c r="AE16" i="1" s="1"/>
  <c r="D45" i="1"/>
  <c r="Q43" i="1" s="1"/>
  <c r="B45" i="1"/>
  <c r="Q42" i="1" s="1"/>
  <c r="F45" i="1"/>
  <c r="Q44" i="1" s="1"/>
  <c r="AD17" i="1"/>
  <c r="AA18" i="1" s="1"/>
  <c r="AA19" i="1" s="1"/>
  <c r="AA20" i="1" s="1"/>
  <c r="AG18" i="1"/>
  <c r="AG19" i="1" s="1"/>
  <c r="AG20" i="1" s="1"/>
</calcChain>
</file>

<file path=xl/comments1.xml><?xml version="1.0" encoding="utf-8"?>
<comments xmlns="http://schemas.openxmlformats.org/spreadsheetml/2006/main">
  <authors>
    <author>Claire Puccini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two proximity delay, 
more eggy </t>
        </r>
      </text>
    </comment>
    <comment ref="T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no eccentric movement of motor
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more eggy than yesterdays test 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intermitttent delays because propelller and center of pan misaligned, evenly distributed around propeller, easiily moving over propeller, "jumpy eggs" -Mallory
Mallory gives it credit, good scrambling resemblence 
super runny </t>
        </r>
      </text>
    </comment>
    <comment ref="T11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serial monitor not opened, delayed placement on stove for 30s, watery 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issue opening serial monitor, may have led to additional time spent on stove sitting w/ stirring, one side still higher than the other, powder sat in a small amount of water so it clumped, more eggy</t>
        </r>
      </text>
    </comment>
    <comment ref="T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"this actually looks appetizing" -Sid</t>
        </r>
      </text>
    </comment>
    <comment ref="B14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measured jar after blended, some powder left on blender, 2 random delay?</t>
        </r>
      </text>
    </comment>
    <comment ref="T14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coupling set screw came loose 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powder has settled 
motor runs unevenly- higher eccentric motion towards end of test </t>
        </r>
      </text>
    </comment>
  </commentList>
</comments>
</file>

<file path=xl/comments2.xml><?xml version="1.0" encoding="utf-8"?>
<comments xmlns="http://schemas.openxmlformats.org/spreadsheetml/2006/main">
  <authors>
    <author>Claire Puccini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two proximity delay, 
more eggy </t>
        </r>
      </text>
    </comment>
    <comment ref="Q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no eccentric movement of motor
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more eggy than yesterdays test 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intermitttent delays because propelller and center of pan misaligned, evenly distributed around propeller, easiily moving over propeller, "jumpy eggs" -Mallory
Mallory gives it credit, good scrambling resemblence 
super runny </t>
        </r>
      </text>
    </comment>
    <comment ref="Q11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serial monitor not opened, delayed placement on stove for 30s, watery 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issue opening serial monitor, may have led to additional time spent on stove sitting w/ stirring, one side still higher than the other, powder sat in a small amount of water so it clumped, more eggy</t>
        </r>
      </text>
    </comment>
    <comment ref="Q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"this actually looks appetizing" -Sid</t>
        </r>
      </text>
    </comment>
    <comment ref="B14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measured jar after blended, some powder left on blender, 2 random delay?</t>
        </r>
      </text>
    </comment>
    <comment ref="Q14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coupling set screw came loose 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powder has settled 
motor runs unevenly- higher eccentric motion towards end of test </t>
        </r>
      </text>
    </comment>
  </commentList>
</comments>
</file>

<file path=xl/sharedStrings.xml><?xml version="1.0" encoding="utf-8"?>
<sst xmlns="http://schemas.openxmlformats.org/spreadsheetml/2006/main" count="486" uniqueCount="90">
  <si>
    <t xml:space="preserve">toast </t>
  </si>
  <si>
    <t>pb&amp;j</t>
  </si>
  <si>
    <t xml:space="preserve">sid </t>
  </si>
  <si>
    <t>jar</t>
  </si>
  <si>
    <t>Before Measurements</t>
  </si>
  <si>
    <t>g</t>
  </si>
  <si>
    <t xml:space="preserve">Trial </t>
  </si>
  <si>
    <t>Water</t>
  </si>
  <si>
    <t>Delay</t>
  </si>
  <si>
    <t>Propeller</t>
  </si>
  <si>
    <r>
      <t>d</t>
    </r>
    <r>
      <rPr>
        <vertAlign val="subscript"/>
        <sz val="11"/>
        <color theme="1"/>
        <rFont val="Calibri"/>
        <family val="2"/>
        <scheme val="minor"/>
      </rPr>
      <t>123</t>
    </r>
  </si>
  <si>
    <t xml:space="preserve">Egg Weight </t>
  </si>
  <si>
    <t>Consistency</t>
  </si>
  <si>
    <t>Cook Time</t>
  </si>
  <si>
    <t>Empty Jar</t>
  </si>
  <si>
    <t>Time</t>
  </si>
  <si>
    <t>Trial 2 Response</t>
  </si>
  <si>
    <t>Trial 1 Response</t>
  </si>
  <si>
    <t xml:space="preserve">average </t>
  </si>
  <si>
    <t xml:space="preserve">variance </t>
  </si>
  <si>
    <r>
      <t>variance</t>
    </r>
    <r>
      <rPr>
        <vertAlign val="superscript"/>
        <sz val="11"/>
        <color theme="1"/>
        <rFont val="Calibri"/>
        <family val="2"/>
        <scheme val="minor"/>
      </rPr>
      <t>2</t>
    </r>
  </si>
  <si>
    <t>overall mean response</t>
  </si>
  <si>
    <t>Bo</t>
  </si>
  <si>
    <t xml:space="preserve">main effect </t>
  </si>
  <si>
    <t>delay</t>
  </si>
  <si>
    <t xml:space="preserve">interaction </t>
  </si>
  <si>
    <t>Cook Time (s)</t>
  </si>
  <si>
    <t>Full jar (g)</t>
  </si>
  <si>
    <t>Empty Jar (g)</t>
  </si>
  <si>
    <t>Egg Weight (g)</t>
  </si>
  <si>
    <t xml:space="preserve">tupperware </t>
  </si>
  <si>
    <t>tupperware</t>
  </si>
  <si>
    <t xml:space="preserve">Average Temperature </t>
  </si>
  <si>
    <t>Final avg Temp</t>
  </si>
  <si>
    <t>Final Avg Temp</t>
  </si>
  <si>
    <t>sid</t>
  </si>
  <si>
    <t>Bi</t>
  </si>
  <si>
    <t>Bij</t>
  </si>
  <si>
    <t>Cold water</t>
  </si>
  <si>
    <t>cold water</t>
  </si>
  <si>
    <t>propeller</t>
  </si>
  <si>
    <t>full jar (g)</t>
  </si>
  <si>
    <t>toast</t>
  </si>
  <si>
    <t>tupperware weight (g)</t>
  </si>
  <si>
    <t>start time</t>
  </si>
  <si>
    <t>Material Loss (g)</t>
  </si>
  <si>
    <t>Cold Water</t>
  </si>
  <si>
    <t>Average Temp</t>
  </si>
  <si>
    <t>Material Loss</t>
  </si>
  <si>
    <t xml:space="preserve">equations </t>
  </si>
  <si>
    <t>Cook time:</t>
  </si>
  <si>
    <t>Average Temp:</t>
  </si>
  <si>
    <t xml:space="preserve">Material Loss: </t>
  </si>
  <si>
    <t>y=448+7.93x1+-15.41x2+-38.98x3+-19.52x123</t>
  </si>
  <si>
    <t>y=63.64+0.60x1+0.67x2+-0.11x3+1.03x123</t>
  </si>
  <si>
    <t>y=69+-0.38x1+-2.38x2+2.50x3+-3.25x123</t>
  </si>
  <si>
    <t>S^2</t>
  </si>
  <si>
    <t>S</t>
  </si>
  <si>
    <t>S.E.</t>
  </si>
  <si>
    <t>regression coefficients need to be &gt;</t>
  </si>
  <si>
    <t xml:space="preserve">Original Equations based off of unaltered data: </t>
  </si>
  <si>
    <r>
      <t>d</t>
    </r>
    <r>
      <rPr>
        <vertAlign val="subscript"/>
        <sz val="11"/>
        <color theme="1"/>
        <rFont val="Calibri"/>
        <family val="2"/>
        <scheme val="minor"/>
      </rPr>
      <t>12</t>
    </r>
  </si>
  <si>
    <r>
      <t>d</t>
    </r>
    <r>
      <rPr>
        <vertAlign val="subscript"/>
        <sz val="11"/>
        <color theme="1"/>
        <rFont val="Calibri"/>
        <family val="2"/>
        <scheme val="minor"/>
      </rPr>
      <t>13</t>
    </r>
  </si>
  <si>
    <r>
      <t>d</t>
    </r>
    <r>
      <rPr>
        <vertAlign val="subscript"/>
        <sz val="11"/>
        <color theme="1"/>
        <rFont val="Calibri"/>
        <family val="2"/>
        <scheme val="minor"/>
      </rPr>
      <t>23</t>
    </r>
  </si>
  <si>
    <t xml:space="preserve">Cook Time </t>
  </si>
  <si>
    <t xml:space="preserve">Mean response </t>
  </si>
  <si>
    <t xml:space="preserve">Interaction </t>
  </si>
  <si>
    <t>delay vs water</t>
  </si>
  <si>
    <t>delay vs propeller</t>
  </si>
  <si>
    <t>water vs propeller</t>
  </si>
  <si>
    <t>Mean response</t>
  </si>
  <si>
    <t>interaction</t>
  </si>
  <si>
    <t xml:space="preserve">mean response </t>
  </si>
  <si>
    <t xml:space="preserve">Final Temp </t>
  </si>
  <si>
    <t>ME delay</t>
  </si>
  <si>
    <t>ME water</t>
  </si>
  <si>
    <t>ME propeller</t>
  </si>
  <si>
    <t xml:space="preserve">ME water </t>
  </si>
  <si>
    <t xml:space="preserve">resulting equations </t>
  </si>
  <si>
    <t>x1</t>
  </si>
  <si>
    <t>x2</t>
  </si>
  <si>
    <t>x1x2</t>
  </si>
  <si>
    <t>delay vs water =</t>
  </si>
  <si>
    <t>delay vs propeller =</t>
  </si>
  <si>
    <t>water vs propeller =</t>
  </si>
  <si>
    <t>+</t>
  </si>
  <si>
    <t>x3</t>
  </si>
  <si>
    <t>x1x3</t>
  </si>
  <si>
    <t>x2x3</t>
  </si>
  <si>
    <t>Resulting 2x2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</si>
</sst>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4E0D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2" fontId="0" fillId="0" borderId="0" xfId="0" applyNumberFormat="1"/>
    <xf numFmtId="0" fontId="0" fillId="0" borderId="0" xfId="0" applyBorder="1"/>
    <xf numFmtId="16" fontId="0" fillId="0" borderId="0" xfId="0" applyNumberFormat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0" fontId="0" fillId="2" borderId="0" xfId="0" applyFill="1" applyAlignment="1"/>
    <xf numFmtId="0" fontId="0" fillId="6" borderId="0" xfId="0" applyFill="1" applyAlignment="1"/>
    <xf numFmtId="14" fontId="0" fillId="0" borderId="0" xfId="0" applyNumberFormat="1"/>
    <xf numFmtId="0" fontId="0" fillId="0" borderId="0" xfId="0" applyFill="1" applyBorder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 applyAlignment="1"/>
    <xf numFmtId="16" fontId="0" fillId="0" borderId="1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/>
    <xf numFmtId="16" fontId="0" fillId="0" borderId="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2" fontId="0" fillId="0" borderId="7" xfId="0" applyNumberFormat="1" applyBorder="1"/>
    <xf numFmtId="2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E0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319089</xdr:colOff>
      <xdr:row>17</xdr:row>
      <xdr:rowOff>138111</xdr:rowOff>
    </xdr:from>
    <xdr:to>
      <xdr:col>24</xdr:col>
      <xdr:colOff>223838</xdr:colOff>
      <xdr:row>32</xdr:row>
      <xdr:rowOff>-1</xdr:rowOff>
    </xdr:to>
    <xdr:sp macro="" textlink="">
      <xdr:nvSpPr>
        <xdr:cNvPr id="2" name="TextBox 1"/>
        <xdr:cNvSpPr txBox="1"/>
      </xdr:nvSpPr>
      <xdr:spPr>
        <a:xfrm>
          <a:off x="10034589" y="3257549"/>
          <a:ext cx="2457449" cy="25765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 </a:t>
          </a:r>
        </a:p>
        <a:p>
          <a:r>
            <a:rPr lang="en-US" sz="1100"/>
            <a:t>-liked room</a:t>
          </a:r>
          <a:r>
            <a:rPr lang="en-US" sz="1100" baseline="0"/>
            <a:t> temperature water b/c it is runny, easily moves out of a jar </a:t>
          </a:r>
        </a:p>
        <a:p>
          <a:r>
            <a:rPr lang="en-US" sz="1100" baseline="0"/>
            <a:t>-build in delayed pause</a:t>
          </a:r>
        </a:p>
        <a:p>
          <a:r>
            <a:rPr lang="en-US" sz="1100" baseline="0"/>
            <a:t>-hit reset button for arduino </a:t>
          </a:r>
        </a:p>
        <a:p>
          <a:r>
            <a:rPr lang="en-US" sz="1100" baseline="0"/>
            <a:t>-propeller contacts pan in back left </a:t>
          </a:r>
        </a:p>
        <a:p>
          <a:r>
            <a:rPr lang="en-US" sz="1100" baseline="0"/>
            <a:t>-flat propeller sux- hits side of pan </a:t>
          </a:r>
        </a:p>
        <a:p>
          <a:r>
            <a:rPr lang="en-US" sz="1100" baseline="0"/>
            <a:t>-plan pan correctly </a:t>
          </a:r>
        </a:p>
        <a:p>
          <a:r>
            <a:rPr lang="en-US" sz="1100" baseline="0"/>
            <a:t>-soldered the connection points in the blender and motor, between 4/20 and 4/21 </a:t>
          </a:r>
        </a:p>
      </xdr:txBody>
    </xdr:sp>
    <xdr:clientData/>
  </xdr:twoCellAnchor>
  <xdr:twoCellAnchor>
    <xdr:from>
      <xdr:col>16</xdr:col>
      <xdr:colOff>19050</xdr:colOff>
      <xdr:row>17</xdr:row>
      <xdr:rowOff>119062</xdr:rowOff>
    </xdr:from>
    <xdr:to>
      <xdr:col>20</xdr:col>
      <xdr:colOff>138113</xdr:colOff>
      <xdr:row>33</xdr:row>
      <xdr:rowOff>80962</xdr:rowOff>
    </xdr:to>
    <xdr:sp macro="" textlink="">
      <xdr:nvSpPr>
        <xdr:cNvPr id="3" name="TextBox 2"/>
        <xdr:cNvSpPr txBox="1"/>
      </xdr:nvSpPr>
      <xdr:spPr>
        <a:xfrm>
          <a:off x="6867525" y="3238500"/>
          <a:ext cx="2986088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Parameters:</a:t>
          </a:r>
        </a:p>
        <a:p>
          <a:r>
            <a:rPr lang="en-US" sz="1100"/>
            <a:t>-temp: 4.5 ticks </a:t>
          </a:r>
        </a:p>
        <a:p>
          <a:r>
            <a:rPr lang="en-US" sz="1100"/>
            <a:t>-cap</a:t>
          </a:r>
          <a:r>
            <a:rPr lang="en-US" sz="1100" baseline="0"/>
            <a:t> full of oil</a:t>
          </a:r>
        </a:p>
        <a:p>
          <a:r>
            <a:rPr lang="en-US" sz="1100" baseline="0"/>
            <a:t>-cold water on 6th floor </a:t>
          </a:r>
        </a:p>
        <a:p>
          <a:r>
            <a:rPr lang="en-US" sz="1100" baseline="0"/>
            <a:t>-blender time 30s</a:t>
          </a:r>
        </a:p>
        <a:p>
          <a:r>
            <a:rPr lang="en-US" sz="1100" baseline="0"/>
            <a:t>-1 cup of water, 4 tablespoon powder</a:t>
          </a:r>
        </a:p>
        <a:p>
          <a:r>
            <a:rPr lang="en-US" sz="1100" baseline="0"/>
            <a:t>-heat pan for 30s </a:t>
          </a:r>
        </a:p>
        <a:p>
          <a:r>
            <a:rPr lang="en-US" sz="1100" baseline="0"/>
            <a:t>-initial delay 5s</a:t>
          </a:r>
        </a:p>
        <a:p>
          <a:r>
            <a:rPr lang="en-US" sz="1100" baseline="0"/>
            <a:t>-periodic delay 2s</a:t>
          </a:r>
        </a:p>
        <a:p>
          <a:r>
            <a:rPr lang="en-US" sz="1100" baseline="0"/>
            <a:t>-forward spin 5s </a:t>
          </a:r>
        </a:p>
        <a:p>
          <a:r>
            <a:rPr lang="en-US" sz="1100" baseline="0"/>
            <a:t>-backward spin 3s</a:t>
          </a:r>
        </a:p>
        <a:p>
          <a:r>
            <a:rPr lang="en-US" sz="1100" baseline="0"/>
            <a:t>-take pan out to place eggs</a:t>
          </a:r>
        </a:p>
        <a:p>
          <a:r>
            <a:rPr lang="en-US" sz="1100"/>
            <a:t>-initial</a:t>
          </a:r>
          <a:r>
            <a:rPr lang="en-US" sz="1100" baseline="0"/>
            <a:t> delay is kept in trials with removed intermediate delays of 2s 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20</xdr:col>
      <xdr:colOff>295275</xdr:colOff>
      <xdr:row>32</xdr:row>
      <xdr:rowOff>61911</xdr:rowOff>
    </xdr:from>
    <xdr:to>
      <xdr:col>25</xdr:col>
      <xdr:colOff>314325</xdr:colOff>
      <xdr:row>45</xdr:row>
      <xdr:rowOff>33336</xdr:rowOff>
    </xdr:to>
    <xdr:sp macro="" textlink="">
      <xdr:nvSpPr>
        <xdr:cNvPr id="4" name="TextBox 3"/>
        <xdr:cNvSpPr txBox="1"/>
      </xdr:nvSpPr>
      <xdr:spPr>
        <a:xfrm>
          <a:off x="10372725" y="5895974"/>
          <a:ext cx="3209925" cy="2143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Sources of Noise:</a:t>
          </a:r>
        </a:p>
        <a:p>
          <a:r>
            <a:rPr lang="en-US" sz="1100"/>
            <a:t>-cool down time between </a:t>
          </a:r>
        </a:p>
        <a:p>
          <a:r>
            <a:rPr lang="en-US" sz="1100"/>
            <a:t>-differences</a:t>
          </a:r>
          <a:r>
            <a:rPr lang="en-US" sz="1100" baseline="0"/>
            <a:t> between packing, changes between person, results in different thicknesses </a:t>
          </a:r>
        </a:p>
        <a:p>
          <a:r>
            <a:rPr lang="en-US" sz="1100" baseline="0"/>
            <a:t>-intermittent proximity sensor triggers</a:t>
          </a:r>
        </a:p>
        <a:p>
          <a:r>
            <a:rPr lang="en-US" sz="1100" baseline="0"/>
            <a:t>-inconsistent propeller scrapping </a:t>
          </a:r>
        </a:p>
        <a:p>
          <a:r>
            <a:rPr lang="en-US" sz="1100" baseline="0"/>
            <a:t>-after trial 5 of the second run (6,7,8) the scale was run from a 9 v  power supply </a:t>
          </a:r>
        </a:p>
        <a:p>
          <a:r>
            <a:rPr lang="en-US" sz="1100" baseline="0"/>
            <a:t>-should have measured after blending and the propeller was removed </a:t>
          </a:r>
          <a:endParaRPr lang="en-US" sz="1100"/>
        </a:p>
      </xdr:txBody>
    </xdr:sp>
    <xdr:clientData/>
  </xdr:twoCellAnchor>
  <xdr:twoCellAnchor>
    <xdr:from>
      <xdr:col>11</xdr:col>
      <xdr:colOff>4765</xdr:colOff>
      <xdr:row>17</xdr:row>
      <xdr:rowOff>133350</xdr:rowOff>
    </xdr:from>
    <xdr:to>
      <xdr:col>15</xdr:col>
      <xdr:colOff>495300</xdr:colOff>
      <xdr:row>27</xdr:row>
      <xdr:rowOff>95249</xdr:rowOff>
    </xdr:to>
    <xdr:sp macro="" textlink="">
      <xdr:nvSpPr>
        <xdr:cNvPr id="5" name="TextBox 4"/>
        <xdr:cNvSpPr txBox="1"/>
      </xdr:nvSpPr>
      <xdr:spPr>
        <a:xfrm>
          <a:off x="6672265" y="3252788"/>
          <a:ext cx="3043235" cy="1771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Key:</a:t>
          </a:r>
        </a:p>
        <a:p>
          <a:r>
            <a:rPr lang="en-US" sz="1100"/>
            <a:t>-</a:t>
          </a:r>
          <a:r>
            <a:rPr lang="en-US" sz="1100" baseline="0"/>
            <a:t> Stirring pattern: w/ delay 1     no delay -1</a:t>
          </a:r>
        </a:p>
        <a:p>
          <a:r>
            <a:rPr lang="en-US" sz="1100" baseline="0"/>
            <a:t>-water: 	  room 1	cold -1</a:t>
          </a:r>
        </a:p>
        <a:p>
          <a:r>
            <a:rPr lang="en-US" sz="1100" baseline="0"/>
            <a:t>-propeller	curved w/slit 1	flat w/o slit -1</a:t>
          </a:r>
        </a:p>
        <a:p>
          <a:endParaRPr lang="en-US" sz="1100" baseline="0"/>
        </a:p>
        <a:p>
          <a:r>
            <a:rPr lang="en-US" sz="1100" baseline="0"/>
            <a:t>delay is x1 </a:t>
          </a:r>
        </a:p>
        <a:p>
          <a:r>
            <a:rPr lang="en-US" sz="1100" baseline="0"/>
            <a:t>water is x2 </a:t>
          </a:r>
        </a:p>
        <a:p>
          <a:r>
            <a:rPr lang="en-US" sz="1100" baseline="0"/>
            <a:t>propeller is x3</a:t>
          </a:r>
          <a:endParaRPr lang="en-US" sz="1100"/>
        </a:p>
      </xdr:txBody>
    </xdr:sp>
    <xdr:clientData/>
  </xdr:twoCellAnchor>
  <xdr:twoCellAnchor>
    <xdr:from>
      <xdr:col>0</xdr:col>
      <xdr:colOff>633416</xdr:colOff>
      <xdr:row>20</xdr:row>
      <xdr:rowOff>114300</xdr:rowOff>
    </xdr:from>
    <xdr:to>
      <xdr:col>5</xdr:col>
      <xdr:colOff>276225</xdr:colOff>
      <xdr:row>24</xdr:row>
      <xdr:rowOff>9525</xdr:rowOff>
    </xdr:to>
    <xdr:sp macro="" textlink="">
      <xdr:nvSpPr>
        <xdr:cNvPr id="6" name="TextBox 5"/>
        <xdr:cNvSpPr txBox="1"/>
      </xdr:nvSpPr>
      <xdr:spPr>
        <a:xfrm>
          <a:off x="633416" y="3776663"/>
          <a:ext cx="2895597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Attempted to make</a:t>
          </a:r>
          <a:r>
            <a:rPr lang="en-US" sz="1100" baseline="0"/>
            <a:t> a 3x2 relationship, but cannot plot that on Matlab like rylander did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21</xdr:row>
      <xdr:rowOff>138112</xdr:rowOff>
    </xdr:from>
    <xdr:to>
      <xdr:col>17</xdr:col>
      <xdr:colOff>433388</xdr:colOff>
      <xdr:row>29</xdr:row>
      <xdr:rowOff>133350</xdr:rowOff>
    </xdr:to>
    <xdr:sp macro="" textlink="">
      <xdr:nvSpPr>
        <xdr:cNvPr id="6" name="TextBox 5"/>
        <xdr:cNvSpPr txBox="1"/>
      </xdr:nvSpPr>
      <xdr:spPr>
        <a:xfrm>
          <a:off x="7315200" y="3981450"/>
          <a:ext cx="3195638" cy="14430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Cooking times need</a:t>
          </a:r>
          <a:r>
            <a:rPr lang="en-US" sz="1100" baseline="0"/>
            <a:t> to be within 50 secs of each other to get a low enough standard error for our original equations to work. But when shifting the times down, the equation becomes updated and requires a lower S.E. to fulfill the requirement. </a:t>
          </a:r>
          <a:endParaRPr lang="en-US" sz="1100"/>
        </a:p>
      </xdr:txBody>
    </xdr:sp>
    <xdr:clientData/>
  </xdr:twoCellAnchor>
  <xdr:twoCellAnchor>
    <xdr:from>
      <xdr:col>17</xdr:col>
      <xdr:colOff>566737</xdr:colOff>
      <xdr:row>21</xdr:row>
      <xdr:rowOff>133350</xdr:rowOff>
    </xdr:from>
    <xdr:to>
      <xdr:col>22</xdr:col>
      <xdr:colOff>571500</xdr:colOff>
      <xdr:row>29</xdr:row>
      <xdr:rowOff>128588</xdr:rowOff>
    </xdr:to>
    <xdr:sp macro="" textlink="">
      <xdr:nvSpPr>
        <xdr:cNvPr id="7" name="TextBox 6"/>
        <xdr:cNvSpPr txBox="1"/>
      </xdr:nvSpPr>
      <xdr:spPr>
        <a:xfrm>
          <a:off x="10644187" y="3976688"/>
          <a:ext cx="3195638" cy="14430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Finished temperature</a:t>
          </a:r>
          <a:r>
            <a:rPr lang="en-US" sz="1100" baseline="0"/>
            <a:t> needs to be within one degree of each other to drop the S.E. low enough for the old equation, and will work for the new equation. </a:t>
          </a:r>
          <a:endParaRPr lang="en-US" sz="1100"/>
        </a:p>
      </xdr:txBody>
    </xdr:sp>
    <xdr:clientData/>
  </xdr:twoCellAnchor>
  <xdr:twoCellAnchor>
    <xdr:from>
      <xdr:col>13</xdr:col>
      <xdr:colOff>138112</xdr:colOff>
      <xdr:row>30</xdr:row>
      <xdr:rowOff>38100</xdr:rowOff>
    </xdr:from>
    <xdr:to>
      <xdr:col>17</xdr:col>
      <xdr:colOff>466725</xdr:colOff>
      <xdr:row>38</xdr:row>
      <xdr:rowOff>33338</xdr:rowOff>
    </xdr:to>
    <xdr:sp macro="" textlink="">
      <xdr:nvSpPr>
        <xdr:cNvPr id="8" name="TextBox 7"/>
        <xdr:cNvSpPr txBox="1"/>
      </xdr:nvSpPr>
      <xdr:spPr>
        <a:xfrm>
          <a:off x="7348537" y="5510213"/>
          <a:ext cx="3195638" cy="14430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Material loss,</a:t>
          </a:r>
          <a:r>
            <a:rPr lang="en-US" sz="1100" baseline="0"/>
            <a:t> needs to be within 5 grams of each other to get an S.E. low enough for old equation, and will not work for new equation created.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9"/>
  <sheetViews>
    <sheetView tabSelected="1" topLeftCell="H32" zoomScale="80" zoomScaleNormal="80" workbookViewId="0">
      <selection activeCell="O32" sqref="O32"/>
    </sheetView>
  </sheetViews>
  <sheetFormatPr defaultRowHeight="14.4" x14ac:dyDescent="0.55000000000000004"/>
  <cols>
    <col min="1" max="1" width="13.15625" bestFit="1" customWidth="1"/>
    <col min="2" max="2" width="4.89453125" bestFit="1" customWidth="1"/>
    <col min="3" max="3" width="7.15625" customWidth="1"/>
    <col min="4" max="4" width="9.1015625" customWidth="1"/>
    <col min="5" max="5" width="10.68359375" customWidth="1"/>
    <col min="6" max="6" width="5" customWidth="1"/>
    <col min="7" max="7" width="9.68359375" customWidth="1"/>
    <col min="8" max="8" width="9.7890625" customWidth="1"/>
    <col min="9" max="9" width="8.41796875" customWidth="1"/>
    <col min="10" max="10" width="5.47265625" customWidth="1"/>
    <col min="11" max="17" width="8.83984375" customWidth="1"/>
    <col min="19" max="19" width="13.15625" customWidth="1"/>
    <col min="20" max="27" width="8.83984375" customWidth="1"/>
  </cols>
  <sheetData>
    <row r="1" spans="1:37" x14ac:dyDescent="0.55000000000000004">
      <c r="A1" t="s">
        <v>4</v>
      </c>
    </row>
    <row r="2" spans="1:37" x14ac:dyDescent="0.55000000000000004">
      <c r="A2" t="s">
        <v>0</v>
      </c>
      <c r="B2" t="s">
        <v>5</v>
      </c>
      <c r="C2">
        <v>25</v>
      </c>
    </row>
    <row r="3" spans="1:37" x14ac:dyDescent="0.55000000000000004">
      <c r="A3" t="s">
        <v>1</v>
      </c>
      <c r="B3" t="s">
        <v>5</v>
      </c>
      <c r="C3">
        <v>26</v>
      </c>
    </row>
    <row r="4" spans="1:37" x14ac:dyDescent="0.55000000000000004">
      <c r="A4" t="s">
        <v>2</v>
      </c>
      <c r="B4" t="s">
        <v>5</v>
      </c>
      <c r="C4">
        <v>77</v>
      </c>
    </row>
    <row r="5" spans="1:37" x14ac:dyDescent="0.55000000000000004">
      <c r="A5" t="s">
        <v>3</v>
      </c>
      <c r="B5" t="s">
        <v>5</v>
      </c>
      <c r="C5">
        <v>237</v>
      </c>
    </row>
    <row r="7" spans="1:37" x14ac:dyDescent="0.55000000000000004">
      <c r="K7" s="8" t="s">
        <v>17</v>
      </c>
      <c r="L7" s="8"/>
      <c r="M7" s="8"/>
      <c r="N7" s="8"/>
      <c r="O7" s="8"/>
      <c r="P7" s="8"/>
      <c r="Q7" s="8"/>
      <c r="R7" s="8"/>
      <c r="S7" s="7"/>
      <c r="T7" s="7"/>
      <c r="U7" s="7" t="s">
        <v>16</v>
      </c>
      <c r="V7" s="7"/>
      <c r="W7" s="7"/>
      <c r="X7" s="7"/>
      <c r="Y7" s="7"/>
      <c r="Z7" s="7"/>
      <c r="AA7" s="7"/>
      <c r="AB7" s="7"/>
      <c r="AC7" s="4" t="s">
        <v>13</v>
      </c>
      <c r="AD7" s="4"/>
      <c r="AE7" s="4"/>
      <c r="AF7" s="5" t="s">
        <v>48</v>
      </c>
      <c r="AG7" s="5"/>
      <c r="AH7" s="5"/>
      <c r="AI7" s="6" t="s">
        <v>32</v>
      </c>
      <c r="AJ7" s="6"/>
      <c r="AK7" s="6"/>
    </row>
    <row r="8" spans="1:37" ht="17.7" x14ac:dyDescent="0.75">
      <c r="A8" t="s">
        <v>15</v>
      </c>
      <c r="B8" t="s">
        <v>6</v>
      </c>
      <c r="C8" t="s">
        <v>8</v>
      </c>
      <c r="D8" t="s">
        <v>7</v>
      </c>
      <c r="E8" t="s">
        <v>9</v>
      </c>
      <c r="F8" t="s">
        <v>61</v>
      </c>
      <c r="G8" t="s">
        <v>62</v>
      </c>
      <c r="H8" t="s">
        <v>63</v>
      </c>
      <c r="I8" t="s">
        <v>10</v>
      </c>
      <c r="J8" t="s">
        <v>27</v>
      </c>
      <c r="K8" t="s">
        <v>28</v>
      </c>
      <c r="L8" t="s">
        <v>30</v>
      </c>
      <c r="M8" t="s">
        <v>43</v>
      </c>
      <c r="N8" t="s">
        <v>29</v>
      </c>
      <c r="O8" t="s">
        <v>45</v>
      </c>
      <c r="P8" t="s">
        <v>12</v>
      </c>
      <c r="Q8" t="s">
        <v>33</v>
      </c>
      <c r="R8" t="s">
        <v>26</v>
      </c>
      <c r="S8" t="s">
        <v>44</v>
      </c>
      <c r="T8" t="s">
        <v>41</v>
      </c>
      <c r="U8" t="s">
        <v>14</v>
      </c>
      <c r="V8" t="s">
        <v>31</v>
      </c>
      <c r="W8" t="s">
        <v>43</v>
      </c>
      <c r="X8" t="s">
        <v>11</v>
      </c>
      <c r="Y8" t="s">
        <v>48</v>
      </c>
      <c r="Z8" t="s">
        <v>12</v>
      </c>
      <c r="AA8" t="s">
        <v>34</v>
      </c>
      <c r="AB8" t="s">
        <v>13</v>
      </c>
      <c r="AC8" t="s">
        <v>18</v>
      </c>
      <c r="AD8" t="s">
        <v>20</v>
      </c>
      <c r="AE8" t="s">
        <v>19</v>
      </c>
      <c r="AF8" t="s">
        <v>18</v>
      </c>
      <c r="AG8" t="s">
        <v>20</v>
      </c>
      <c r="AH8" t="s">
        <v>19</v>
      </c>
      <c r="AI8" t="s">
        <v>18</v>
      </c>
      <c r="AJ8" t="s">
        <v>20</v>
      </c>
      <c r="AK8" t="s">
        <v>19</v>
      </c>
    </row>
    <row r="9" spans="1:37" x14ac:dyDescent="0.55000000000000004">
      <c r="A9" s="9">
        <v>43211.081944444442</v>
      </c>
      <c r="B9">
        <v>1</v>
      </c>
      <c r="C9">
        <v>-1</v>
      </c>
      <c r="D9">
        <v>-1</v>
      </c>
      <c r="E9">
        <v>-1</v>
      </c>
      <c r="F9">
        <f>C9*D9</f>
        <v>1</v>
      </c>
      <c r="G9">
        <f>C9*E9</f>
        <v>1</v>
      </c>
      <c r="H9">
        <f>D9*E9</f>
        <v>1</v>
      </c>
      <c r="I9">
        <f>C9*D9*E9</f>
        <v>-1</v>
      </c>
      <c r="J9">
        <v>513</v>
      </c>
      <c r="K9">
        <v>256</v>
      </c>
      <c r="L9" t="s">
        <v>35</v>
      </c>
      <c r="M9">
        <v>77</v>
      </c>
      <c r="N9">
        <v>247</v>
      </c>
      <c r="O9">
        <f>(J9-K9)-(N9-M9)</f>
        <v>87</v>
      </c>
      <c r="P9">
        <v>0.27</v>
      </c>
      <c r="Q9">
        <v>66.39</v>
      </c>
      <c r="R9">
        <f>(740730-121134)/1000</f>
        <v>619.596</v>
      </c>
      <c r="S9" s="1">
        <v>43202.181250000001</v>
      </c>
      <c r="T9">
        <v>512</v>
      </c>
      <c r="U9">
        <v>268</v>
      </c>
      <c r="V9" t="s">
        <v>42</v>
      </c>
      <c r="W9">
        <v>25</v>
      </c>
      <c r="X9">
        <v>210</v>
      </c>
      <c r="Y9">
        <f>(T9-U9)-(X9-W9)</f>
        <v>59</v>
      </c>
      <c r="Z9">
        <v>0.26</v>
      </c>
      <c r="AA9">
        <v>51.66</v>
      </c>
      <c r="AB9">
        <f>(589783-143635)/1000</f>
        <v>446.14800000000002</v>
      </c>
      <c r="AC9">
        <f>AVERAGE(R9,AB9)</f>
        <v>532.87200000000007</v>
      </c>
      <c r="AD9">
        <f>((R9-AC9)^2+(AB9-AC9)^2)/(2-1)</f>
        <v>15042.104351999997</v>
      </c>
      <c r="AE9">
        <f>SQRT(AD9)</f>
        <v>122.64625698324429</v>
      </c>
      <c r="AF9">
        <f t="shared" ref="AF9:AF16" si="0">AVERAGE(O9,Y9)</f>
        <v>73</v>
      </c>
      <c r="AG9">
        <f>((O9-AF9)^2+(Y9-AF9)^2)/(2-1)</f>
        <v>392</v>
      </c>
      <c r="AH9">
        <f>SQRT(AG9)</f>
        <v>19.798989873223331</v>
      </c>
      <c r="AI9">
        <f>AVERAGE(Q9,AA9)</f>
        <v>59.024999999999999</v>
      </c>
      <c r="AJ9">
        <f>((Q9-AI9)^2+(AA9-AI9)^2)/(2-1)</f>
        <v>108.48645000000006</v>
      </c>
      <c r="AK9">
        <f>SQRT(AJ9)</f>
        <v>10.415682886877848</v>
      </c>
    </row>
    <row r="10" spans="1:37" x14ac:dyDescent="0.55000000000000004">
      <c r="A10" s="1">
        <v>43211.094444444447</v>
      </c>
      <c r="B10">
        <v>2</v>
      </c>
      <c r="C10">
        <v>1</v>
      </c>
      <c r="D10">
        <v>-1</v>
      </c>
      <c r="E10">
        <v>-1</v>
      </c>
      <c r="F10">
        <f t="shared" ref="F10:F16" si="1">C10*D10</f>
        <v>-1</v>
      </c>
      <c r="G10">
        <f t="shared" ref="G10:G16" si="2">C10*E10</f>
        <v>-1</v>
      </c>
      <c r="H10">
        <f t="shared" ref="H10:H16" si="3">D10*E10</f>
        <v>1</v>
      </c>
      <c r="I10">
        <f t="shared" ref="I10:I16" si="4">C10*D10*E10</f>
        <v>1</v>
      </c>
      <c r="J10">
        <v>521</v>
      </c>
      <c r="K10">
        <v>261</v>
      </c>
      <c r="L10" t="s">
        <v>0</v>
      </c>
      <c r="M10">
        <v>25</v>
      </c>
      <c r="N10">
        <v>220</v>
      </c>
      <c r="O10">
        <f t="shared" ref="O10:O16" si="5">(J10-K10)-(N10-M10)</f>
        <v>65</v>
      </c>
      <c r="P10">
        <v>0.28000000000000003</v>
      </c>
      <c r="Q10">
        <v>66.67</v>
      </c>
      <c r="R10">
        <f>(595490-168671)/1000</f>
        <v>426.81900000000002</v>
      </c>
      <c r="S10" s="1">
        <v>43211.166666666664</v>
      </c>
      <c r="T10">
        <v>516</v>
      </c>
      <c r="U10">
        <v>271</v>
      </c>
      <c r="V10" t="s">
        <v>42</v>
      </c>
      <c r="W10">
        <v>25</v>
      </c>
      <c r="X10">
        <v>213</v>
      </c>
      <c r="Y10">
        <f t="shared" ref="Y10:Y16" si="6">(T10-U10)-(X10-W10)</f>
        <v>57</v>
      </c>
      <c r="Z10">
        <f>0.27</f>
        <v>0.27</v>
      </c>
      <c r="AA10">
        <v>67.73</v>
      </c>
      <c r="AB10">
        <f>(1157316-619644)/1000</f>
        <v>537.67200000000003</v>
      </c>
      <c r="AC10">
        <f t="shared" ref="AC10:AC16" si="7">AVERAGE(R10,AB10)</f>
        <v>482.24549999999999</v>
      </c>
      <c r="AD10">
        <f t="shared" ref="AD10:AD16" si="8">((R10-AC10)^2+(AB10-AC10)^2)/(2-1)</f>
        <v>6144.1938045000006</v>
      </c>
      <c r="AE10">
        <f t="shared" ref="AE10:AE16" si="9">SQRT(AD10)</f>
        <v>78.384908014872352</v>
      </c>
      <c r="AF10">
        <f t="shared" si="0"/>
        <v>61</v>
      </c>
      <c r="AG10">
        <f t="shared" ref="AG10:AG16" si="10">((O10-AF10)^2+(Y10-AF10)^2)/(2-1)</f>
        <v>32</v>
      </c>
      <c r="AH10">
        <f t="shared" ref="AH10:AH16" si="11">SQRT(AG10)</f>
        <v>5.6568542494923806</v>
      </c>
      <c r="AI10">
        <f t="shared" ref="AI10:AI16" si="12">AVERAGE(Q10,AA10)</f>
        <v>67.2</v>
      </c>
      <c r="AJ10">
        <f t="shared" ref="AJ10:AJ16" si="13">((Q10-AI10)^2+(AA10-AI10)^2)/(2-1)</f>
        <v>0.56180000000000241</v>
      </c>
      <c r="AK10">
        <f t="shared" ref="AK10:AK16" si="14">SQRT(AJ10)</f>
        <v>0.74953318805774194</v>
      </c>
    </row>
    <row r="11" spans="1:37" x14ac:dyDescent="0.55000000000000004">
      <c r="A11" s="1">
        <v>43210.19027777778</v>
      </c>
      <c r="B11">
        <v>3</v>
      </c>
      <c r="C11">
        <v>-1</v>
      </c>
      <c r="D11">
        <v>1</v>
      </c>
      <c r="E11">
        <v>-1</v>
      </c>
      <c r="F11">
        <f t="shared" si="1"/>
        <v>-1</v>
      </c>
      <c r="G11">
        <f t="shared" si="2"/>
        <v>1</v>
      </c>
      <c r="H11">
        <f t="shared" si="3"/>
        <v>-1</v>
      </c>
      <c r="I11">
        <f t="shared" si="4"/>
        <v>1</v>
      </c>
      <c r="J11">
        <v>513</v>
      </c>
      <c r="K11">
        <v>243</v>
      </c>
      <c r="L11" t="s">
        <v>0</v>
      </c>
      <c r="M11">
        <v>25</v>
      </c>
      <c r="N11">
        <v>222</v>
      </c>
      <c r="O11">
        <f t="shared" si="5"/>
        <v>73</v>
      </c>
      <c r="P11">
        <v>0.28000000000000003</v>
      </c>
      <c r="Q11">
        <v>59.375</v>
      </c>
      <c r="R11">
        <f>(695760-154635)/1000</f>
        <v>541.125</v>
      </c>
      <c r="T11">
        <v>508</v>
      </c>
      <c r="U11">
        <v>246</v>
      </c>
      <c r="V11" t="s">
        <v>42</v>
      </c>
      <c r="W11">
        <v>25</v>
      </c>
      <c r="X11">
        <v>233</v>
      </c>
      <c r="Y11">
        <f t="shared" si="6"/>
        <v>54</v>
      </c>
      <c r="Z11">
        <v>0.28000000000000003</v>
      </c>
      <c r="AA11">
        <v>70.266999999999996</v>
      </c>
      <c r="AB11">
        <f>(431110-54132)/1000</f>
        <v>376.97800000000001</v>
      </c>
      <c r="AC11">
        <f t="shared" si="7"/>
        <v>459.05150000000003</v>
      </c>
      <c r="AD11">
        <f t="shared" si="8"/>
        <v>13472.118804499998</v>
      </c>
      <c r="AE11">
        <f t="shared" si="9"/>
        <v>116.06945681142821</v>
      </c>
      <c r="AF11">
        <f t="shared" si="0"/>
        <v>63.5</v>
      </c>
      <c r="AG11">
        <f t="shared" si="10"/>
        <v>180.5</v>
      </c>
      <c r="AH11">
        <f t="shared" si="11"/>
        <v>13.435028842544403</v>
      </c>
      <c r="AI11">
        <f t="shared" si="12"/>
        <v>64.820999999999998</v>
      </c>
      <c r="AJ11">
        <f t="shared" si="13"/>
        <v>59.317831999999953</v>
      </c>
      <c r="AK11">
        <f t="shared" si="14"/>
        <v>7.7018070606838727</v>
      </c>
    </row>
    <row r="12" spans="1:37" x14ac:dyDescent="0.55000000000000004">
      <c r="A12" s="1">
        <v>43211.058333333334</v>
      </c>
      <c r="B12">
        <v>4</v>
      </c>
      <c r="C12">
        <v>1</v>
      </c>
      <c r="D12">
        <v>1</v>
      </c>
      <c r="E12">
        <v>-1</v>
      </c>
      <c r="F12">
        <f t="shared" si="1"/>
        <v>1</v>
      </c>
      <c r="G12">
        <f t="shared" si="2"/>
        <v>-1</v>
      </c>
      <c r="H12">
        <f t="shared" si="3"/>
        <v>-1</v>
      </c>
      <c r="I12">
        <f t="shared" si="4"/>
        <v>-1</v>
      </c>
      <c r="J12">
        <v>510</v>
      </c>
      <c r="K12">
        <v>250</v>
      </c>
      <c r="L12" t="s">
        <v>1</v>
      </c>
      <c r="M12">
        <v>26</v>
      </c>
      <c r="N12">
        <v>215</v>
      </c>
      <c r="O12">
        <f t="shared" si="5"/>
        <v>71</v>
      </c>
      <c r="P12">
        <v>0.27</v>
      </c>
      <c r="Q12">
        <v>63.875</v>
      </c>
      <c r="R12">
        <f>(455924-46133)/1000</f>
        <v>409.791</v>
      </c>
      <c r="S12" s="1">
        <v>43211.15625</v>
      </c>
      <c r="T12">
        <v>506</v>
      </c>
      <c r="U12">
        <v>252</v>
      </c>
      <c r="V12" t="s">
        <v>1</v>
      </c>
      <c r="W12">
        <v>26</v>
      </c>
      <c r="X12">
        <v>214</v>
      </c>
      <c r="Y12">
        <f t="shared" si="6"/>
        <v>66</v>
      </c>
      <c r="Z12">
        <v>0.27</v>
      </c>
      <c r="AA12">
        <v>64.015600000000006</v>
      </c>
      <c r="AB12">
        <f>(1157316-619644)/1000</f>
        <v>537.67200000000003</v>
      </c>
      <c r="AC12">
        <f t="shared" si="7"/>
        <v>473.73149999999998</v>
      </c>
      <c r="AD12">
        <f t="shared" si="8"/>
        <v>8176.7750805000032</v>
      </c>
      <c r="AE12">
        <f t="shared" si="9"/>
        <v>90.425522284916909</v>
      </c>
      <c r="AF12">
        <f t="shared" si="0"/>
        <v>68.5</v>
      </c>
      <c r="AG12">
        <f t="shared" si="10"/>
        <v>12.5</v>
      </c>
      <c r="AH12">
        <f t="shared" si="11"/>
        <v>3.5355339059327378</v>
      </c>
      <c r="AI12">
        <f t="shared" si="12"/>
        <v>63.945300000000003</v>
      </c>
      <c r="AJ12">
        <f t="shared" si="13"/>
        <v>9.8841800000008823E-3</v>
      </c>
      <c r="AK12">
        <f t="shared" si="14"/>
        <v>9.9419213434833023E-2</v>
      </c>
    </row>
    <row r="13" spans="1:37" x14ac:dyDescent="0.55000000000000004">
      <c r="A13" s="1">
        <v>43210.169444444444</v>
      </c>
      <c r="B13">
        <v>5</v>
      </c>
      <c r="C13">
        <v>-1</v>
      </c>
      <c r="D13">
        <v>-1</v>
      </c>
      <c r="E13">
        <v>1</v>
      </c>
      <c r="F13">
        <f t="shared" si="1"/>
        <v>1</v>
      </c>
      <c r="G13">
        <f t="shared" si="2"/>
        <v>-1</v>
      </c>
      <c r="H13">
        <f t="shared" si="3"/>
        <v>-1</v>
      </c>
      <c r="I13">
        <f t="shared" si="4"/>
        <v>1</v>
      </c>
      <c r="J13">
        <v>521</v>
      </c>
      <c r="K13">
        <v>260</v>
      </c>
      <c r="L13" t="s">
        <v>0</v>
      </c>
      <c r="M13">
        <v>25</v>
      </c>
      <c r="N13">
        <v>210</v>
      </c>
      <c r="O13">
        <f t="shared" si="5"/>
        <v>76</v>
      </c>
      <c r="P13">
        <v>0.27</v>
      </c>
      <c r="Q13">
        <v>63.5625</v>
      </c>
      <c r="R13">
        <f>(668955-268054)/1000</f>
        <v>400.90100000000001</v>
      </c>
      <c r="S13" s="1">
        <v>43211.208333333336</v>
      </c>
      <c r="T13">
        <v>498</v>
      </c>
      <c r="U13">
        <v>273</v>
      </c>
      <c r="V13" t="s">
        <v>1</v>
      </c>
      <c r="W13">
        <v>26</v>
      </c>
      <c r="X13">
        <v>182</v>
      </c>
      <c r="Y13">
        <f t="shared" si="6"/>
        <v>69</v>
      </c>
      <c r="Z13">
        <v>0.27</v>
      </c>
      <c r="AA13">
        <v>62.92</v>
      </c>
      <c r="AB13">
        <f>(468113-125634)/1000</f>
        <v>342.47899999999998</v>
      </c>
      <c r="AC13">
        <f t="shared" si="7"/>
        <v>371.69</v>
      </c>
      <c r="AD13">
        <f t="shared" si="8"/>
        <v>1706.5650420000015</v>
      </c>
      <c r="AE13">
        <f t="shared" si="9"/>
        <v>41.310592370480499</v>
      </c>
      <c r="AF13">
        <f t="shared" si="0"/>
        <v>72.5</v>
      </c>
      <c r="AG13">
        <f t="shared" si="10"/>
        <v>24.5</v>
      </c>
      <c r="AH13">
        <f t="shared" si="11"/>
        <v>4.9497474683058327</v>
      </c>
      <c r="AI13">
        <f t="shared" si="12"/>
        <v>63.241250000000001</v>
      </c>
      <c r="AJ13">
        <f t="shared" si="13"/>
        <v>0.20640312499999891</v>
      </c>
      <c r="AK13">
        <f t="shared" si="14"/>
        <v>0.45431610691235558</v>
      </c>
    </row>
    <row r="14" spans="1:37" x14ac:dyDescent="0.55000000000000004">
      <c r="A14" s="1">
        <v>43210.15347222222</v>
      </c>
      <c r="B14">
        <v>6</v>
      </c>
      <c r="C14">
        <v>-1</v>
      </c>
      <c r="D14">
        <v>1</v>
      </c>
      <c r="E14">
        <v>1</v>
      </c>
      <c r="F14">
        <f t="shared" si="1"/>
        <v>-1</v>
      </c>
      <c r="G14">
        <f t="shared" si="2"/>
        <v>-1</v>
      </c>
      <c r="H14">
        <f t="shared" si="3"/>
        <v>1</v>
      </c>
      <c r="I14">
        <f t="shared" si="4"/>
        <v>-1</v>
      </c>
      <c r="J14">
        <v>514</v>
      </c>
      <c r="K14">
        <v>243</v>
      </c>
      <c r="L14" t="s">
        <v>1</v>
      </c>
      <c r="M14">
        <v>26</v>
      </c>
      <c r="N14">
        <v>223</v>
      </c>
      <c r="O14">
        <f t="shared" si="5"/>
        <v>74</v>
      </c>
      <c r="P14">
        <v>0.27</v>
      </c>
      <c r="Q14">
        <v>63.1875</v>
      </c>
      <c r="R14">
        <v>424.09500000000003</v>
      </c>
      <c r="S14" s="1">
        <v>43211.229166666664</v>
      </c>
      <c r="T14">
        <v>502</v>
      </c>
      <c r="U14">
        <v>251</v>
      </c>
      <c r="V14" t="s">
        <v>1</v>
      </c>
      <c r="W14">
        <v>26</v>
      </c>
      <c r="X14">
        <v>214</v>
      </c>
      <c r="Y14">
        <f t="shared" si="6"/>
        <v>63</v>
      </c>
      <c r="Z14">
        <v>0.27</v>
      </c>
      <c r="AA14">
        <v>66.9375</v>
      </c>
      <c r="AB14">
        <f>(1931393-1562166)/1000</f>
        <v>369.22699999999998</v>
      </c>
      <c r="AC14">
        <f t="shared" si="7"/>
        <v>396.661</v>
      </c>
      <c r="AD14">
        <f t="shared" si="8"/>
        <v>1505.2487120000028</v>
      </c>
      <c r="AE14">
        <f t="shared" si="9"/>
        <v>38.797534870143522</v>
      </c>
      <c r="AF14">
        <f t="shared" si="0"/>
        <v>68.5</v>
      </c>
      <c r="AG14">
        <f t="shared" si="10"/>
        <v>60.5</v>
      </c>
      <c r="AH14">
        <f t="shared" si="11"/>
        <v>7.7781745930520225</v>
      </c>
      <c r="AI14">
        <f t="shared" si="12"/>
        <v>65.0625</v>
      </c>
      <c r="AJ14">
        <f t="shared" si="13"/>
        <v>7.03125</v>
      </c>
      <c r="AK14">
        <f t="shared" si="14"/>
        <v>2.6516504294495533</v>
      </c>
    </row>
    <row r="15" spans="1:37" x14ac:dyDescent="0.55000000000000004">
      <c r="A15" s="1">
        <v>43210.085416666669</v>
      </c>
      <c r="B15">
        <v>7</v>
      </c>
      <c r="C15">
        <v>1</v>
      </c>
      <c r="D15">
        <v>-1</v>
      </c>
      <c r="E15">
        <v>1</v>
      </c>
      <c r="F15">
        <f t="shared" si="1"/>
        <v>-1</v>
      </c>
      <c r="G15">
        <f t="shared" si="2"/>
        <v>1</v>
      </c>
      <c r="H15">
        <f t="shared" si="3"/>
        <v>-1</v>
      </c>
      <c r="I15">
        <f t="shared" si="4"/>
        <v>-1</v>
      </c>
      <c r="J15">
        <v>520</v>
      </c>
      <c r="K15">
        <v>285</v>
      </c>
      <c r="L15" t="s">
        <v>0</v>
      </c>
      <c r="M15">
        <v>25</v>
      </c>
      <c r="N15">
        <v>168</v>
      </c>
      <c r="O15">
        <f t="shared" si="5"/>
        <v>92</v>
      </c>
      <c r="P15">
        <v>0.26</v>
      </c>
      <c r="Q15">
        <v>53.1875</v>
      </c>
      <c r="R15">
        <v>523.80499999999995</v>
      </c>
      <c r="S15" s="1">
        <v>43211.270833333336</v>
      </c>
      <c r="T15">
        <v>510</v>
      </c>
      <c r="U15">
        <v>269</v>
      </c>
      <c r="V15" t="s">
        <v>42</v>
      </c>
      <c r="W15">
        <v>25</v>
      </c>
      <c r="X15">
        <v>200</v>
      </c>
      <c r="Y15">
        <f t="shared" si="6"/>
        <v>66</v>
      </c>
      <c r="Z15">
        <v>0.27</v>
      </c>
      <c r="AA15">
        <v>71.625</v>
      </c>
      <c r="AB15">
        <f>(535961-126134)/1000</f>
        <v>409.827</v>
      </c>
      <c r="AC15">
        <f t="shared" si="7"/>
        <v>466.81599999999997</v>
      </c>
      <c r="AD15">
        <f t="shared" si="8"/>
        <v>6495.4922419999948</v>
      </c>
      <c r="AE15">
        <f t="shared" si="9"/>
        <v>80.594616706080288</v>
      </c>
      <c r="AF15">
        <f t="shared" si="0"/>
        <v>79</v>
      </c>
      <c r="AG15">
        <f t="shared" si="10"/>
        <v>338</v>
      </c>
      <c r="AH15">
        <f t="shared" si="11"/>
        <v>18.384776310850235</v>
      </c>
      <c r="AI15">
        <f t="shared" si="12"/>
        <v>62.40625</v>
      </c>
      <c r="AJ15">
        <f t="shared" si="13"/>
        <v>169.970703125</v>
      </c>
      <c r="AK15">
        <f t="shared" si="14"/>
        <v>13.03728127812697</v>
      </c>
    </row>
    <row r="16" spans="1:37" x14ac:dyDescent="0.55000000000000004">
      <c r="A16" s="3">
        <v>43210.151388888888</v>
      </c>
      <c r="B16">
        <v>8</v>
      </c>
      <c r="C16">
        <v>1</v>
      </c>
      <c r="D16">
        <v>1</v>
      </c>
      <c r="E16">
        <v>1</v>
      </c>
      <c r="F16">
        <f t="shared" si="1"/>
        <v>1</v>
      </c>
      <c r="G16">
        <f t="shared" si="2"/>
        <v>1</v>
      </c>
      <c r="H16">
        <f t="shared" si="3"/>
        <v>1</v>
      </c>
      <c r="I16">
        <f t="shared" si="4"/>
        <v>1</v>
      </c>
      <c r="J16">
        <v>505</v>
      </c>
      <c r="K16">
        <v>247</v>
      </c>
      <c r="L16" t="s">
        <v>35</v>
      </c>
      <c r="M16">
        <v>77</v>
      </c>
      <c r="N16">
        <v>264</v>
      </c>
      <c r="O16">
        <f t="shared" si="5"/>
        <v>71</v>
      </c>
      <c r="P16">
        <v>0.27</v>
      </c>
      <c r="Q16">
        <v>64.75</v>
      </c>
      <c r="R16">
        <f>(559365-137634)/1000</f>
        <v>421.73099999999999</v>
      </c>
      <c r="S16" s="1">
        <v>43211.244444444441</v>
      </c>
      <c r="T16">
        <v>505</v>
      </c>
      <c r="U16">
        <v>249</v>
      </c>
      <c r="V16" t="s">
        <v>42</v>
      </c>
      <c r="W16">
        <v>25</v>
      </c>
      <c r="X16">
        <v>220</v>
      </c>
      <c r="Y16">
        <f t="shared" si="6"/>
        <v>61</v>
      </c>
      <c r="Z16">
        <v>0.27</v>
      </c>
      <c r="AA16">
        <v>62.09</v>
      </c>
      <c r="AB16">
        <f>(814747-434640)/1000</f>
        <v>380.10700000000003</v>
      </c>
      <c r="AC16">
        <f t="shared" si="7"/>
        <v>400.91899999999998</v>
      </c>
      <c r="AD16">
        <f t="shared" si="8"/>
        <v>866.27868799999862</v>
      </c>
      <c r="AE16">
        <f t="shared" si="9"/>
        <v>29.43261266010883</v>
      </c>
      <c r="AF16">
        <f t="shared" si="0"/>
        <v>66</v>
      </c>
      <c r="AG16">
        <f t="shared" si="10"/>
        <v>50</v>
      </c>
      <c r="AH16">
        <f t="shared" si="11"/>
        <v>7.0710678118654755</v>
      </c>
      <c r="AI16">
        <f t="shared" si="12"/>
        <v>63.42</v>
      </c>
      <c r="AJ16">
        <f t="shared" si="13"/>
        <v>3.537799999999991</v>
      </c>
      <c r="AK16">
        <f t="shared" si="14"/>
        <v>1.8809040379562141</v>
      </c>
    </row>
    <row r="17" spans="1:36" x14ac:dyDescent="0.55000000000000004">
      <c r="A17" s="21" t="s">
        <v>13</v>
      </c>
      <c r="B17" s="22"/>
      <c r="C17" s="22"/>
      <c r="D17" s="22"/>
      <c r="E17" s="22"/>
      <c r="F17" s="22"/>
      <c r="G17" s="22"/>
      <c r="H17" s="22"/>
      <c r="I17" s="23"/>
      <c r="J17" s="20"/>
      <c r="K17" s="20"/>
      <c r="L17" s="20"/>
      <c r="AC17" t="s">
        <v>56</v>
      </c>
      <c r="AD17">
        <f>SUM(AD9:AD16)/8</f>
        <v>6676.0970906874991</v>
      </c>
      <c r="AF17" t="s">
        <v>56</v>
      </c>
      <c r="AG17">
        <f>SUM(AG9:AG16)/8</f>
        <v>136.25</v>
      </c>
      <c r="AI17" t="s">
        <v>56</v>
      </c>
      <c r="AJ17">
        <f>SUM(AJ9:AJ16)/8</f>
        <v>43.640265303750006</v>
      </c>
    </row>
    <row r="18" spans="1:36" s="2" customFormat="1" x14ac:dyDescent="0.55000000000000004">
      <c r="A18" s="24" t="s">
        <v>8</v>
      </c>
      <c r="B18" s="13"/>
      <c r="C18" s="13"/>
      <c r="D18" s="13" t="s">
        <v>46</v>
      </c>
      <c r="E18" s="13"/>
      <c r="F18" s="13"/>
      <c r="G18" s="13" t="s">
        <v>9</v>
      </c>
      <c r="H18" s="13"/>
      <c r="I18" s="25"/>
      <c r="Z18" s="2" t="s">
        <v>57</v>
      </c>
      <c r="AA18" s="2">
        <f>SQRT(AD17)</f>
        <v>81.707387001956562</v>
      </c>
      <c r="AC18" s="2" t="s">
        <v>57</v>
      </c>
      <c r="AD18" s="2">
        <f>SQRT(AG17)</f>
        <v>11.672617529928752</v>
      </c>
      <c r="AF18" s="2" t="s">
        <v>57</v>
      </c>
      <c r="AG18" s="2">
        <f>SQRT(AJ17)</f>
        <v>6.6060779062731321</v>
      </c>
    </row>
    <row r="19" spans="1:36" s="2" customFormat="1" x14ac:dyDescent="0.55000000000000004">
      <c r="A19" s="15" t="s">
        <v>21</v>
      </c>
      <c r="B19" s="2" t="s">
        <v>22</v>
      </c>
      <c r="C19" s="11">
        <f>AVERAGE(R9:R16,AB9:AB16)</f>
        <v>447.99831250000005</v>
      </c>
      <c r="D19" s="2" t="s">
        <v>21</v>
      </c>
      <c r="E19" s="10" t="s">
        <v>22</v>
      </c>
      <c r="F19" s="2">
        <f>AVERAGE(R9:R16,AB9:AB16)</f>
        <v>447.99831250000005</v>
      </c>
      <c r="G19" s="2" t="s">
        <v>21</v>
      </c>
      <c r="H19" s="10" t="s">
        <v>22</v>
      </c>
      <c r="I19" s="26">
        <f>AVERAGE(R9:R16,AB9:AB16)</f>
        <v>447.99831250000005</v>
      </c>
      <c r="Z19" s="2" t="s">
        <v>58</v>
      </c>
      <c r="AA19" s="2">
        <f>AA18/SQRT(16)</f>
        <v>20.42684675048914</v>
      </c>
      <c r="AC19" s="2" t="s">
        <v>58</v>
      </c>
      <c r="AD19" s="2">
        <f>AD18/SQRT(16)</f>
        <v>2.9181543824821881</v>
      </c>
      <c r="AF19" s="2" t="s">
        <v>58</v>
      </c>
      <c r="AG19" s="2">
        <f>AG18/SQRT(16)</f>
        <v>1.651519476568283</v>
      </c>
    </row>
    <row r="20" spans="1:36" s="2" customFormat="1" x14ac:dyDescent="0.55000000000000004">
      <c r="A20" s="15" t="s">
        <v>23</v>
      </c>
      <c r="B20" s="2" t="s">
        <v>24</v>
      </c>
      <c r="C20" s="11">
        <f>AVERAGE(R10,R12,R15:R16,AB10,AB12,AB15:AB16)-AVERAGE(R9,R11,R13:R14,AB9,AB11,AB13:AB14)</f>
        <v>15.859375</v>
      </c>
      <c r="D20" s="2" t="s">
        <v>23</v>
      </c>
      <c r="E20" s="10" t="s">
        <v>38</v>
      </c>
      <c r="F20" s="2">
        <f>AVERAGE(R11,R12,R14,R16,AB11,AB12,AB14,AB16)-AVERAGE(R9,R10,R13,R15,AB9,AB10,AB13,AB15)</f>
        <v>-30.81512500000008</v>
      </c>
      <c r="G20" s="2" t="s">
        <v>23</v>
      </c>
      <c r="H20" s="10" t="s">
        <v>40</v>
      </c>
      <c r="I20" s="26">
        <f>AVERAGE(R13:R16,AB13:AB16)-AVERAGE(R9:R12,AB9:AB12)</f>
        <v>-77.953625000000045</v>
      </c>
      <c r="Z20" s="10" t="s">
        <v>59</v>
      </c>
      <c r="AA20" s="2">
        <f>2*AA19</f>
        <v>40.853693500978281</v>
      </c>
      <c r="AC20" s="10" t="s">
        <v>59</v>
      </c>
      <c r="AD20" s="2">
        <f>2*AD19</f>
        <v>5.8363087649643761</v>
      </c>
      <c r="AF20" s="10" t="s">
        <v>59</v>
      </c>
      <c r="AG20" s="2">
        <f>2*AG19</f>
        <v>3.303038953136566</v>
      </c>
    </row>
    <row r="21" spans="1:36" x14ac:dyDescent="0.55000000000000004">
      <c r="A21" s="15" t="s">
        <v>25</v>
      </c>
      <c r="B21" s="2" t="s">
        <v>24</v>
      </c>
      <c r="C21" s="11">
        <f>AVERAGE(R10,R11,R13,R16,AB10,AB11,AB13,AB16)-AVERAGE(R9,R12,R14:R15,AB9,AB12,AB14:AB15)</f>
        <v>-39.04362500000002</v>
      </c>
      <c r="D21" s="2" t="s">
        <v>25</v>
      </c>
      <c r="E21" s="2" t="s">
        <v>38</v>
      </c>
      <c r="F21" s="2">
        <f>AVERAGE(R10,R11,R13,R16,AB10,AB11,AB13,AB16)-AVERAGE(R9,R12,R14,R15,AB9,AB12,AB14,AB15)</f>
        <v>-39.04362500000002</v>
      </c>
      <c r="G21" s="2" t="s">
        <v>25</v>
      </c>
      <c r="H21" s="2" t="s">
        <v>40</v>
      </c>
      <c r="I21" s="26">
        <f>AVERAGE(R10,R11,R13,R16,AB10,AB11,AB13,AB16)-AVERAGE(R9,R12,R14,R15,AB9,AB12,AB14,AB15)</f>
        <v>-39.04362500000002</v>
      </c>
    </row>
    <row r="22" spans="1:36" x14ac:dyDescent="0.55000000000000004">
      <c r="A22" s="15" t="s">
        <v>36</v>
      </c>
      <c r="B22" s="2" t="s">
        <v>24</v>
      </c>
      <c r="C22" s="11">
        <f>C20/2</f>
        <v>7.9296875</v>
      </c>
      <c r="D22" s="2" t="s">
        <v>36</v>
      </c>
      <c r="E22" s="2" t="s">
        <v>38</v>
      </c>
      <c r="F22" s="2">
        <f>F20/2</f>
        <v>-15.40756250000004</v>
      </c>
      <c r="G22" s="2" t="s">
        <v>36</v>
      </c>
      <c r="H22" s="2" t="s">
        <v>40</v>
      </c>
      <c r="I22" s="26">
        <f>I20/2</f>
        <v>-38.976812500000023</v>
      </c>
    </row>
    <row r="23" spans="1:36" x14ac:dyDescent="0.55000000000000004">
      <c r="A23" s="15" t="s">
        <v>37</v>
      </c>
      <c r="B23" s="2" t="s">
        <v>24</v>
      </c>
      <c r="C23" s="11">
        <f>C21/2</f>
        <v>-19.52181250000001</v>
      </c>
      <c r="D23" s="2" t="s">
        <v>37</v>
      </c>
      <c r="E23" s="2" t="s">
        <v>39</v>
      </c>
      <c r="F23" s="2">
        <f>F21/2</f>
        <v>-19.52181250000001</v>
      </c>
      <c r="G23" s="2" t="s">
        <v>37</v>
      </c>
      <c r="H23" s="2" t="s">
        <v>40</v>
      </c>
      <c r="I23" s="26">
        <f>I21/2</f>
        <v>-19.52181250000001</v>
      </c>
    </row>
    <row r="24" spans="1:36" x14ac:dyDescent="0.55000000000000004">
      <c r="A24" s="27" t="s">
        <v>47</v>
      </c>
      <c r="B24" s="28"/>
      <c r="C24" s="28"/>
      <c r="D24" s="28"/>
      <c r="E24" s="28"/>
      <c r="F24" s="28"/>
      <c r="G24" s="28"/>
      <c r="H24" s="28"/>
      <c r="I24" s="29"/>
      <c r="J24" s="20"/>
      <c r="K24" s="20"/>
      <c r="L24" s="20"/>
    </row>
    <row r="25" spans="1:36" x14ac:dyDescent="0.55000000000000004">
      <c r="A25" s="24" t="s">
        <v>8</v>
      </c>
      <c r="B25" s="13"/>
      <c r="C25" s="13"/>
      <c r="D25" s="13" t="s">
        <v>46</v>
      </c>
      <c r="E25" s="13"/>
      <c r="F25" s="13"/>
      <c r="G25" s="13" t="s">
        <v>9</v>
      </c>
      <c r="H25" s="13"/>
      <c r="I25" s="25"/>
    </row>
    <row r="26" spans="1:36" x14ac:dyDescent="0.55000000000000004">
      <c r="A26" s="15" t="s">
        <v>21</v>
      </c>
      <c r="B26" s="2" t="s">
        <v>22</v>
      </c>
      <c r="C26" s="11">
        <f>AVERAGE(Q9:Q16,AA9:AA16)</f>
        <v>63.640162500000002</v>
      </c>
      <c r="D26" s="2" t="s">
        <v>21</v>
      </c>
      <c r="E26" s="10" t="s">
        <v>22</v>
      </c>
      <c r="F26" s="11">
        <f>AVERAGE(Q9:Q16,AA9:AA16)</f>
        <v>63.640162500000002</v>
      </c>
      <c r="G26" s="2" t="s">
        <v>21</v>
      </c>
      <c r="H26" s="10" t="s">
        <v>22</v>
      </c>
      <c r="I26" s="26">
        <f>AVERAGE(Q9:Q16,AA9:AA16)</f>
        <v>63.640162500000002</v>
      </c>
    </row>
    <row r="27" spans="1:36" x14ac:dyDescent="0.55000000000000004">
      <c r="A27" s="15" t="s">
        <v>23</v>
      </c>
      <c r="B27" s="2" t="s">
        <v>24</v>
      </c>
      <c r="C27" s="11">
        <f>AVERAGE(Q10,Q12,Q15:Q16,AA10,AA12,AA15:AA16)-AVERAGE(Q9,Q11,Q13:Q14,AA9,AA11,AA13:AA14)</f>
        <v>1.2054500000000132</v>
      </c>
      <c r="D27" s="2" t="s">
        <v>23</v>
      </c>
      <c r="E27" s="10" t="s">
        <v>38</v>
      </c>
      <c r="F27" s="11">
        <f>AVERAGE(Q11:Q12,Q14,Q16,AA11:AA12,AA14,AA16)-AVERAGE(Q9:Q10,Q13,Q15,AA9:AA10,AA13,AA15)</f>
        <v>1.3440749999999966</v>
      </c>
      <c r="G27" s="2" t="s">
        <v>23</v>
      </c>
      <c r="H27" s="10" t="s">
        <v>40</v>
      </c>
      <c r="I27" s="26">
        <f>AVERAGE(Q13:Q16,AA13:AA16)-AVERAGE(Q9:Q12,AA9:AA12)</f>
        <v>-0.21532500000000709</v>
      </c>
    </row>
    <row r="28" spans="1:36" x14ac:dyDescent="0.55000000000000004">
      <c r="A28" s="15" t="s">
        <v>25</v>
      </c>
      <c r="B28" s="2" t="s">
        <v>24</v>
      </c>
      <c r="C28" s="11">
        <f>AVERAGE(Q10:Q11,Q13,Q16,AA10:AA11,AA13,AA16)-AVERAGE(Q9,Q12,Q14:Q15,AA9,AA12,AA14:AA15)</f>
        <v>2.0608000000000075</v>
      </c>
      <c r="D28" s="2" t="s">
        <v>25</v>
      </c>
      <c r="E28" s="2" t="s">
        <v>38</v>
      </c>
      <c r="F28" s="11">
        <f>AVERAGE(Q10:Q11,Q13,Q16,AA10:AA11,AA13,AA16)-AVERAGE(Q9,Q12,Q14:Q15,AA9,AA12,AA14:AA15)</f>
        <v>2.0608000000000075</v>
      </c>
      <c r="G28" s="2" t="s">
        <v>25</v>
      </c>
      <c r="H28" s="2" t="s">
        <v>40</v>
      </c>
      <c r="I28" s="26">
        <f>AVERAGE(Q10,Q11,Q13,Q16,AA10:AA11,AA13,AA16)-AVERAGE(Q9,Q12,Q14:Q15,AA9,AA12,AA14:AA15)</f>
        <v>2.0608000000000075</v>
      </c>
    </row>
    <row r="29" spans="1:36" x14ac:dyDescent="0.55000000000000004">
      <c r="A29" s="15" t="s">
        <v>36</v>
      </c>
      <c r="B29" s="2" t="s">
        <v>24</v>
      </c>
      <c r="C29" s="11">
        <f>C27/2</f>
        <v>0.60272500000000662</v>
      </c>
      <c r="D29" s="2" t="s">
        <v>36</v>
      </c>
      <c r="E29" s="2" t="s">
        <v>38</v>
      </c>
      <c r="F29" s="11">
        <f>F27/2</f>
        <v>0.67203749999999829</v>
      </c>
      <c r="G29" s="2" t="s">
        <v>36</v>
      </c>
      <c r="H29" s="2" t="s">
        <v>40</v>
      </c>
      <c r="I29" s="26">
        <f>I27/2</f>
        <v>-0.10766250000000355</v>
      </c>
    </row>
    <row r="30" spans="1:36" x14ac:dyDescent="0.55000000000000004">
      <c r="A30" s="15" t="s">
        <v>37</v>
      </c>
      <c r="B30" s="2" t="s">
        <v>24</v>
      </c>
      <c r="C30" s="11">
        <f>C28/2</f>
        <v>1.0304000000000038</v>
      </c>
      <c r="D30" s="2" t="s">
        <v>37</v>
      </c>
      <c r="E30" s="2" t="s">
        <v>39</v>
      </c>
      <c r="F30" s="11">
        <f>F28/2</f>
        <v>1.0304000000000038</v>
      </c>
      <c r="G30" s="2" t="s">
        <v>37</v>
      </c>
      <c r="H30" s="2" t="s">
        <v>40</v>
      </c>
      <c r="I30" s="26">
        <f>I28/2</f>
        <v>1.0304000000000038</v>
      </c>
    </row>
    <row r="31" spans="1:36" x14ac:dyDescent="0.55000000000000004">
      <c r="A31" s="27" t="s">
        <v>48</v>
      </c>
      <c r="B31" s="28"/>
      <c r="C31" s="28"/>
      <c r="D31" s="28"/>
      <c r="E31" s="28"/>
      <c r="F31" s="28"/>
      <c r="G31" s="28"/>
      <c r="H31" s="28"/>
      <c r="I31" s="29"/>
      <c r="J31" s="20"/>
      <c r="K31" s="20"/>
      <c r="L31" s="20"/>
    </row>
    <row r="32" spans="1:36" x14ac:dyDescent="0.55000000000000004">
      <c r="A32" s="24" t="s">
        <v>8</v>
      </c>
      <c r="B32" s="13"/>
      <c r="C32" s="13"/>
      <c r="D32" s="13" t="s">
        <v>46</v>
      </c>
      <c r="E32" s="13"/>
      <c r="F32" s="13"/>
      <c r="G32" s="13" t="s">
        <v>9</v>
      </c>
      <c r="H32" s="13"/>
      <c r="I32" s="25"/>
    </row>
    <row r="33" spans="1:18" x14ac:dyDescent="0.55000000000000004">
      <c r="A33" s="15" t="s">
        <v>21</v>
      </c>
      <c r="B33" s="2" t="s">
        <v>22</v>
      </c>
      <c r="C33" s="11">
        <f>AVERAGE(O9:O16,Y9:Y16)</f>
        <v>69</v>
      </c>
      <c r="D33" s="2" t="s">
        <v>21</v>
      </c>
      <c r="E33" s="10" t="s">
        <v>22</v>
      </c>
      <c r="F33" s="11">
        <f>AVERAGE(O9:O16,Y9:Y16)</f>
        <v>69</v>
      </c>
      <c r="G33" s="2" t="s">
        <v>21</v>
      </c>
      <c r="H33" s="10" t="s">
        <v>22</v>
      </c>
      <c r="I33" s="26">
        <f>AVERAGE(O9:O16,Y9:Y16)</f>
        <v>69</v>
      </c>
    </row>
    <row r="34" spans="1:18" x14ac:dyDescent="0.55000000000000004">
      <c r="A34" s="15" t="s">
        <v>23</v>
      </c>
      <c r="B34" s="2" t="s">
        <v>24</v>
      </c>
      <c r="C34" s="11">
        <f>AVERAGE(O10,O12,O15:O16,Y10,Y12,Y15:Y16)-AVERAGE(O9,O11,O13:O14,Y9,Y11,Y13:Y14)</f>
        <v>-0.75</v>
      </c>
      <c r="D34" s="2" t="s">
        <v>23</v>
      </c>
      <c r="E34" s="10" t="s">
        <v>38</v>
      </c>
      <c r="F34" s="11">
        <f>AVERAGE(O11:O12,O14,O16,Y11:Y12,Y14,Y16)-AVERAGE(O9:O10,O13,O15,Y9:Y10,Y13,Y15)</f>
        <v>-4.75</v>
      </c>
      <c r="G34" s="2" t="s">
        <v>23</v>
      </c>
      <c r="H34" s="10" t="s">
        <v>40</v>
      </c>
      <c r="I34" s="26">
        <f>AVERAGE(O13:O16,Y13:Y16)-AVERAGE(O9:O12,Y9:Y12)</f>
        <v>5</v>
      </c>
    </row>
    <row r="35" spans="1:18" x14ac:dyDescent="0.55000000000000004">
      <c r="A35" s="15" t="s">
        <v>25</v>
      </c>
      <c r="B35" s="2" t="s">
        <v>24</v>
      </c>
      <c r="C35" s="11">
        <f>AVERAGE(O10,O11,O13,O16,Y10,Y11,Y13,Y16)-AVERAGE(O9,O12,O14:O15,Y9,Y12,Y14:Y15)</f>
        <v>-6.5</v>
      </c>
      <c r="D35" s="2" t="s">
        <v>25</v>
      </c>
      <c r="E35" s="2" t="s">
        <v>38</v>
      </c>
      <c r="F35" s="11">
        <f>AVERAGE(Y10,Y11,Y13,Y16,O10,O11,O13,O16)-AVERAGE(O9,O12,O14:O15,Y9,Y12,Y14:Y15)</f>
        <v>-6.5</v>
      </c>
      <c r="G35" s="2" t="s">
        <v>25</v>
      </c>
      <c r="H35" s="2" t="s">
        <v>40</v>
      </c>
      <c r="I35" s="26">
        <f>AVERAGE(O10:O11,O13,O16,Y10:Y11,Y13,Y16)-AVERAGE(O9,O12,O14:O15,Y9,Y12,Y14:Y15)</f>
        <v>-6.5</v>
      </c>
    </row>
    <row r="36" spans="1:18" x14ac:dyDescent="0.55000000000000004">
      <c r="A36" s="15" t="s">
        <v>36</v>
      </c>
      <c r="B36" s="2" t="s">
        <v>24</v>
      </c>
      <c r="C36" s="11">
        <f>C34/2</f>
        <v>-0.375</v>
      </c>
      <c r="D36" s="2" t="s">
        <v>36</v>
      </c>
      <c r="E36" s="2" t="s">
        <v>38</v>
      </c>
      <c r="F36" s="11">
        <f>F34/2</f>
        <v>-2.375</v>
      </c>
      <c r="G36" s="2" t="s">
        <v>36</v>
      </c>
      <c r="H36" s="2" t="s">
        <v>40</v>
      </c>
      <c r="I36" s="26">
        <f>I34/2</f>
        <v>2.5</v>
      </c>
    </row>
    <row r="37" spans="1:18" x14ac:dyDescent="0.55000000000000004">
      <c r="A37" s="17" t="s">
        <v>37</v>
      </c>
      <c r="B37" s="18" t="s">
        <v>24</v>
      </c>
      <c r="C37" s="30">
        <f>C35/2</f>
        <v>-3.25</v>
      </c>
      <c r="D37" s="18" t="s">
        <v>37</v>
      </c>
      <c r="E37" s="18" t="s">
        <v>39</v>
      </c>
      <c r="F37" s="30">
        <f>F35/2</f>
        <v>-3.25</v>
      </c>
      <c r="G37" s="18" t="s">
        <v>37</v>
      </c>
      <c r="H37" s="18" t="s">
        <v>40</v>
      </c>
      <c r="I37" s="31">
        <f>I35/2</f>
        <v>-3.25</v>
      </c>
    </row>
    <row r="40" spans="1:18" x14ac:dyDescent="0.55000000000000004">
      <c r="A40" s="32" t="s">
        <v>64</v>
      </c>
      <c r="B40" s="33"/>
      <c r="C40" s="33"/>
      <c r="D40" s="33"/>
      <c r="E40" s="33"/>
      <c r="F40" s="34"/>
      <c r="H40" s="32" t="s">
        <v>89</v>
      </c>
      <c r="I40" s="33"/>
      <c r="J40" s="33"/>
      <c r="K40" s="33"/>
      <c r="L40" s="33"/>
      <c r="M40" s="33"/>
      <c r="N40" s="33"/>
      <c r="O40" s="33"/>
      <c r="P40" s="33"/>
      <c r="Q40" s="33"/>
      <c r="R40" s="34"/>
    </row>
    <row r="41" spans="1:18" x14ac:dyDescent="0.55000000000000004">
      <c r="A41" s="15" t="s">
        <v>67</v>
      </c>
      <c r="B41" s="2"/>
      <c r="C41" s="2" t="s">
        <v>68</v>
      </c>
      <c r="D41" s="2"/>
      <c r="E41" s="2" t="s">
        <v>69</v>
      </c>
      <c r="F41" s="16"/>
      <c r="H41" s="15" t="s">
        <v>78</v>
      </c>
      <c r="I41" s="2"/>
      <c r="J41" s="2"/>
      <c r="K41" s="2"/>
      <c r="L41" s="2"/>
      <c r="M41" s="2"/>
      <c r="N41" s="2"/>
      <c r="O41" s="2"/>
      <c r="P41" s="2"/>
      <c r="Q41" s="2"/>
      <c r="R41" s="16"/>
    </row>
    <row r="42" spans="1:18" x14ac:dyDescent="0.55000000000000004">
      <c r="A42" s="15" t="s">
        <v>65</v>
      </c>
      <c r="B42" s="2">
        <f>AVERAGE(R9:R16,AB9:AB16)</f>
        <v>447.99831250000005</v>
      </c>
      <c r="C42" s="2" t="s">
        <v>70</v>
      </c>
      <c r="D42" s="2">
        <f>AVERAGE(R9:R16,AB9:AB16)</f>
        <v>447.99831250000005</v>
      </c>
      <c r="E42" s="2" t="s">
        <v>72</v>
      </c>
      <c r="F42" s="16">
        <f>AVERAGE(R9:R16,AB9:AB16)</f>
        <v>447.99831250000005</v>
      </c>
      <c r="H42" s="15" t="s">
        <v>82</v>
      </c>
      <c r="I42" s="2">
        <f>B42</f>
        <v>447.99831250000005</v>
      </c>
      <c r="J42" s="2" t="s">
        <v>85</v>
      </c>
      <c r="K42" s="2">
        <f>B43</f>
        <v>15.859375</v>
      </c>
      <c r="L42" s="2" t="s">
        <v>79</v>
      </c>
      <c r="M42" s="2" t="s">
        <v>85</v>
      </c>
      <c r="N42" s="2">
        <f>B44</f>
        <v>-30.81512500000008</v>
      </c>
      <c r="O42" s="2" t="s">
        <v>80</v>
      </c>
      <c r="P42" s="2" t="s">
        <v>85</v>
      </c>
      <c r="Q42" s="2">
        <f>B45</f>
        <v>-11.173312500000009</v>
      </c>
      <c r="R42" s="16" t="s">
        <v>81</v>
      </c>
    </row>
    <row r="43" spans="1:18" x14ac:dyDescent="0.55000000000000004">
      <c r="A43" s="15" t="s">
        <v>74</v>
      </c>
      <c r="B43" s="2">
        <f>AVERAGE(R10,R12,R15:R16,AB10,AB12,AB15:AB16)-AVERAGE(R9,R11,R13:R14,AB9,AB11,AB13:AB14)</f>
        <v>15.859375</v>
      </c>
      <c r="C43" s="2" t="s">
        <v>74</v>
      </c>
      <c r="D43" s="2">
        <f>AVERAGE(R10,R12,R15:R16,AB10,AB12,AB15:AB16)-AVERAGE(R9,R11,R13:R14,AB9,AB11,AB13:AB14)</f>
        <v>15.859375</v>
      </c>
      <c r="E43" s="2" t="s">
        <v>77</v>
      </c>
      <c r="F43" s="16">
        <f>AVERAGE(R11:R12,R14,R16,AB11:AB12,AB14,AB16)-AVERAGE(R9:R10,R13,R15,AB9:AB10,AB13,AB15)</f>
        <v>-30.81512500000008</v>
      </c>
      <c r="H43" s="15" t="s">
        <v>83</v>
      </c>
      <c r="I43" s="2">
        <f>D42</f>
        <v>447.99831250000005</v>
      </c>
      <c r="J43" s="2" t="s">
        <v>85</v>
      </c>
      <c r="K43" s="2">
        <f>D43</f>
        <v>15.859375</v>
      </c>
      <c r="L43" s="2" t="s">
        <v>79</v>
      </c>
      <c r="M43" s="2" t="s">
        <v>85</v>
      </c>
      <c r="N43" s="2">
        <f>D44</f>
        <v>-77.953625000000045</v>
      </c>
      <c r="O43" s="2" t="s">
        <v>86</v>
      </c>
      <c r="P43" s="2" t="s">
        <v>85</v>
      </c>
      <c r="Q43" s="2">
        <f>D45</f>
        <v>72.497687499999984</v>
      </c>
      <c r="R43" s="16" t="s">
        <v>87</v>
      </c>
    </row>
    <row r="44" spans="1:18" x14ac:dyDescent="0.55000000000000004">
      <c r="A44" s="15" t="s">
        <v>75</v>
      </c>
      <c r="B44" s="2">
        <f>AVERAGE(R11:R12,R14,R16,AB11:AB12,AB14,AB16)-AVERAGE(R9:R10,R13,R15,AB9:AB10,AB13,AB15)</f>
        <v>-30.81512500000008</v>
      </c>
      <c r="C44" s="2" t="s">
        <v>76</v>
      </c>
      <c r="D44" s="2">
        <f>AVERAGE(R13:R16,AB13:AB16)-AVERAGE(R9:R12,AB9:AB12)</f>
        <v>-77.953625000000045</v>
      </c>
      <c r="E44" s="2" t="s">
        <v>76</v>
      </c>
      <c r="F44" s="16">
        <f>AVERAGE(R13:R16,AB13:AB16)-AVERAGE(R9:R12,AB9:AB12)</f>
        <v>-77.953625000000045</v>
      </c>
      <c r="H44" s="15" t="s">
        <v>84</v>
      </c>
      <c r="I44" s="2">
        <f>F42</f>
        <v>447.99831250000005</v>
      </c>
      <c r="J44" s="2" t="s">
        <v>85</v>
      </c>
      <c r="K44" s="2">
        <f>F43</f>
        <v>-30.81512500000008</v>
      </c>
      <c r="L44" s="2" t="s">
        <v>80</v>
      </c>
      <c r="M44" s="2" t="s">
        <v>85</v>
      </c>
      <c r="N44" s="2">
        <f>F44</f>
        <v>-77.953625000000045</v>
      </c>
      <c r="O44" s="2" t="s">
        <v>86</v>
      </c>
      <c r="P44" s="2" t="s">
        <v>85</v>
      </c>
      <c r="Q44" s="2">
        <f>F45</f>
        <v>7.253437500000075</v>
      </c>
      <c r="R44" s="16" t="s">
        <v>88</v>
      </c>
    </row>
    <row r="45" spans="1:18" x14ac:dyDescent="0.55000000000000004">
      <c r="A45" s="15" t="s">
        <v>66</v>
      </c>
      <c r="B45" s="2">
        <f>AVERAGE(R9,R12:R13,R16,AC9,AC12:AC13,AC16)-AVERAGE(R10:R11,R14:R15,AC10:AC11,AC14:AC15)</f>
        <v>-11.173312500000009</v>
      </c>
      <c r="C45" s="2" t="s">
        <v>71</v>
      </c>
      <c r="D45" s="2">
        <f>AVERAGE(R9,R11,R15:R16,AC9,AC11,AC15:AC16)-AVERAGE(R10,R12:R14,AC10,AC12:AC14)</f>
        <v>72.497687499999984</v>
      </c>
      <c r="E45" s="2" t="s">
        <v>71</v>
      </c>
      <c r="F45" s="16">
        <f>AVERAGE(R9:R10,R14,R16,AC9:AC10,AC14,AC16)-AVERAGE(R11:R13,R15,AC11:AC13,AC15)</f>
        <v>7.253437500000075</v>
      </c>
      <c r="H45" s="15"/>
      <c r="I45" s="2"/>
      <c r="J45" s="2"/>
      <c r="K45" s="2"/>
      <c r="L45" s="2"/>
      <c r="M45" s="2"/>
      <c r="N45" s="2"/>
      <c r="O45" s="2"/>
      <c r="P45" s="2"/>
      <c r="Q45" s="2"/>
      <c r="R45" s="16"/>
    </row>
    <row r="46" spans="1:18" x14ac:dyDescent="0.55000000000000004">
      <c r="A46" s="15"/>
      <c r="B46" s="2"/>
      <c r="C46" s="2"/>
      <c r="D46" s="2"/>
      <c r="E46" s="2"/>
      <c r="F46" s="16"/>
      <c r="H46" s="15"/>
      <c r="I46" s="2"/>
      <c r="J46" s="2"/>
      <c r="K46" s="2"/>
      <c r="L46" s="2"/>
      <c r="M46" s="2"/>
      <c r="N46" s="2"/>
      <c r="O46" s="2"/>
      <c r="P46" s="2"/>
      <c r="Q46" s="2"/>
      <c r="R46" s="16"/>
    </row>
    <row r="47" spans="1:18" x14ac:dyDescent="0.55000000000000004">
      <c r="A47" s="24" t="s">
        <v>73</v>
      </c>
      <c r="B47" s="13"/>
      <c r="C47" s="13"/>
      <c r="D47" s="13"/>
      <c r="E47" s="13"/>
      <c r="F47" s="25"/>
      <c r="H47" s="15"/>
      <c r="I47" s="2"/>
      <c r="J47" s="2"/>
      <c r="K47" s="2"/>
      <c r="L47" s="2"/>
      <c r="M47" s="2"/>
      <c r="N47" s="2"/>
      <c r="O47" s="2"/>
      <c r="P47" s="2"/>
      <c r="Q47" s="2"/>
      <c r="R47" s="16"/>
    </row>
    <row r="48" spans="1:18" x14ac:dyDescent="0.55000000000000004">
      <c r="A48" s="15" t="s">
        <v>67</v>
      </c>
      <c r="B48" s="2"/>
      <c r="C48" s="2" t="s">
        <v>68</v>
      </c>
      <c r="D48" s="2"/>
      <c r="E48" s="2" t="s">
        <v>69</v>
      </c>
      <c r="F48" s="16"/>
      <c r="H48" s="15"/>
      <c r="I48" s="2"/>
      <c r="J48" s="2"/>
      <c r="K48" s="2"/>
      <c r="L48" s="2"/>
      <c r="M48" s="2"/>
      <c r="N48" s="2"/>
      <c r="O48" s="2"/>
      <c r="P48" s="2"/>
      <c r="Q48" s="2"/>
      <c r="R48" s="16"/>
    </row>
    <row r="49" spans="1:18" x14ac:dyDescent="0.55000000000000004">
      <c r="A49" s="15" t="s">
        <v>65</v>
      </c>
      <c r="B49" s="2">
        <f>AVERAGE(Q9:Q16,AA9:AA16)</f>
        <v>63.640162500000002</v>
      </c>
      <c r="C49" s="2" t="s">
        <v>70</v>
      </c>
      <c r="D49" s="2">
        <f>AVERAGE(Q9:Q16,AA9:AA16)</f>
        <v>63.640162500000002</v>
      </c>
      <c r="E49" s="2" t="s">
        <v>72</v>
      </c>
      <c r="F49" s="16">
        <f>AVERAGE(Q9:Q16,AA9:AA16)</f>
        <v>63.640162500000002</v>
      </c>
      <c r="H49" s="15" t="s">
        <v>82</v>
      </c>
      <c r="I49" s="2">
        <f>B49</f>
        <v>63.640162500000002</v>
      </c>
      <c r="J49" s="2" t="s">
        <v>85</v>
      </c>
      <c r="K49" s="2">
        <f>B50</f>
        <v>1.2054500000000132</v>
      </c>
      <c r="L49" s="2" t="s">
        <v>79</v>
      </c>
      <c r="M49" s="2" t="s">
        <v>85</v>
      </c>
      <c r="N49" s="2">
        <f>B51</f>
        <v>1.3440749999999966</v>
      </c>
      <c r="O49" s="2" t="s">
        <v>80</v>
      </c>
      <c r="P49" s="2" t="s">
        <v>85</v>
      </c>
      <c r="Q49" s="2">
        <f>B52</f>
        <v>-2.4645500000000027</v>
      </c>
      <c r="R49" s="16" t="s">
        <v>81</v>
      </c>
    </row>
    <row r="50" spans="1:18" x14ac:dyDescent="0.55000000000000004">
      <c r="A50" s="15" t="s">
        <v>74</v>
      </c>
      <c r="B50" s="2">
        <f>AVERAGE(Q10,Q12,Q15:Q16,AA10,AA12,AA15:AA16)-AVERAGE(Q9,Q11,Q13:Q14,AA9,AA11,AA13:AA14)</f>
        <v>1.2054500000000132</v>
      </c>
      <c r="C50" s="2" t="s">
        <v>74</v>
      </c>
      <c r="D50" s="2">
        <f>AVERAGE(Q10,Q12,Q15:Q16,AA10,AA12,AA15:AA16)-AVERAGE(Q9,Q11,Q13:Q14,AA9,AA11,AA13:AA14)</f>
        <v>1.2054500000000132</v>
      </c>
      <c r="E50" s="2" t="s">
        <v>77</v>
      </c>
      <c r="F50" s="16">
        <f>AVERAGE(Q11:Q12,Q14,Q16,AA11:AA12,AA14,AA16)-AVERAGE(Q9:Q10,Q13,Q15,AA9:AA10,AA13,AA15)</f>
        <v>1.3440749999999966</v>
      </c>
      <c r="H50" s="15" t="s">
        <v>83</v>
      </c>
      <c r="I50" s="2">
        <f>D49</f>
        <v>63.640162500000002</v>
      </c>
      <c r="J50" s="2" t="s">
        <v>85</v>
      </c>
      <c r="K50" s="2">
        <f>D50</f>
        <v>1.2054500000000132</v>
      </c>
      <c r="L50" s="2" t="s">
        <v>79</v>
      </c>
      <c r="M50" s="2" t="s">
        <v>85</v>
      </c>
      <c r="N50" s="2">
        <f>D51</f>
        <v>-0.21532500000000709</v>
      </c>
      <c r="O50" s="2" t="s">
        <v>86</v>
      </c>
      <c r="P50" s="2" t="s">
        <v>85</v>
      </c>
      <c r="Q50" s="2">
        <f>D52</f>
        <v>-2.4442000000000235</v>
      </c>
      <c r="R50" s="16" t="s">
        <v>87</v>
      </c>
    </row>
    <row r="51" spans="1:18" x14ac:dyDescent="0.55000000000000004">
      <c r="A51" s="15" t="s">
        <v>75</v>
      </c>
      <c r="B51" s="2">
        <f>AVERAGE(Q11:Q12,Q14,Q16,AA11:AA12,AA14,AA16)-AVERAGE(Q9:Q10,Q13,Q15,AA9:AA10,AA13,AA15)</f>
        <v>1.3440749999999966</v>
      </c>
      <c r="C51" s="2" t="s">
        <v>76</v>
      </c>
      <c r="D51" s="2">
        <f>AVERAGE(Q13:Q16,AA13:AA16)-AVERAGE(Q9:Q12,AA9:AA12)</f>
        <v>-0.21532500000000709</v>
      </c>
      <c r="E51" s="2" t="s">
        <v>76</v>
      </c>
      <c r="F51" s="16">
        <f>AVERAGE(Q13:Q16,AA13:AA16)-AVERAGE(Q9:Q12,AA9:AA12)</f>
        <v>-0.21532500000000709</v>
      </c>
      <c r="H51" s="15" t="s">
        <v>84</v>
      </c>
      <c r="I51" s="2">
        <f>F49</f>
        <v>63.640162500000002</v>
      </c>
      <c r="J51" s="2" t="s">
        <v>85</v>
      </c>
      <c r="K51" s="2">
        <f>F50</f>
        <v>1.3440749999999966</v>
      </c>
      <c r="L51" s="2" t="s">
        <v>80</v>
      </c>
      <c r="M51" s="2" t="s">
        <v>85</v>
      </c>
      <c r="N51" s="2">
        <f>F51</f>
        <v>-0.21532500000000709</v>
      </c>
      <c r="O51" s="2" t="s">
        <v>86</v>
      </c>
      <c r="P51" s="2" t="s">
        <v>85</v>
      </c>
      <c r="Q51" s="2">
        <f>F52</f>
        <v>7.3425000000007401E-2</v>
      </c>
      <c r="R51" s="16" t="s">
        <v>88</v>
      </c>
    </row>
    <row r="52" spans="1:18" x14ac:dyDescent="0.55000000000000004">
      <c r="A52" s="15" t="s">
        <v>66</v>
      </c>
      <c r="B52" s="2">
        <f>AVERAGE(Q9,Q12:Q13,Q16,AA9,AA12:AA13,AA16)-AVERAGE(Q10:Q11,Q14:Q15,AA10:AA11,AA14:AA15)</f>
        <v>-2.4645500000000027</v>
      </c>
      <c r="C52" s="2" t="s">
        <v>71</v>
      </c>
      <c r="D52" s="2">
        <f>AVERAGE(Q9,Q11,Q15:Q16,AA9,AA11,AA15:AA16)-AVERAGE(Q10,Q12:Q14,AA10,AA12:AA14)</f>
        <v>-2.4442000000000235</v>
      </c>
      <c r="E52" s="2" t="s">
        <v>71</v>
      </c>
      <c r="F52" s="16">
        <f>AVERAGE(Q9:Q10,Q14,Q16,AA9:AA10,AA14,AA16)-AVERAGE(Q11:Q13,Q15,AA11:AA13,AA15)</f>
        <v>7.3425000000007401E-2</v>
      </c>
      <c r="H52" s="15"/>
      <c r="I52" s="2"/>
      <c r="J52" s="2"/>
      <c r="K52" s="2"/>
      <c r="L52" s="2"/>
      <c r="M52" s="2"/>
      <c r="N52" s="2"/>
      <c r="O52" s="2"/>
      <c r="P52" s="2"/>
      <c r="Q52" s="2"/>
      <c r="R52" s="16"/>
    </row>
    <row r="53" spans="1:18" x14ac:dyDescent="0.55000000000000004">
      <c r="A53" s="15"/>
      <c r="B53" s="2"/>
      <c r="C53" s="2"/>
      <c r="D53" s="2"/>
      <c r="E53" s="2"/>
      <c r="F53" s="16"/>
      <c r="H53" s="15"/>
      <c r="I53" s="2"/>
      <c r="J53" s="2"/>
      <c r="K53" s="2"/>
      <c r="L53" s="2"/>
      <c r="M53" s="2"/>
      <c r="N53" s="2"/>
      <c r="O53" s="2"/>
      <c r="P53" s="2"/>
      <c r="Q53" s="2"/>
      <c r="R53" s="16"/>
    </row>
    <row r="54" spans="1:18" x14ac:dyDescent="0.55000000000000004">
      <c r="A54" s="24" t="s">
        <v>48</v>
      </c>
      <c r="B54" s="13"/>
      <c r="C54" s="13"/>
      <c r="D54" s="13"/>
      <c r="E54" s="13"/>
      <c r="F54" s="25"/>
      <c r="H54" s="15"/>
      <c r="I54" s="2"/>
      <c r="J54" s="2"/>
      <c r="K54" s="2"/>
      <c r="L54" s="2"/>
      <c r="M54" s="2"/>
      <c r="N54" s="2"/>
      <c r="O54" s="2"/>
      <c r="P54" s="2"/>
      <c r="Q54" s="2"/>
      <c r="R54" s="16"/>
    </row>
    <row r="55" spans="1:18" x14ac:dyDescent="0.55000000000000004">
      <c r="A55" s="15" t="s">
        <v>67</v>
      </c>
      <c r="B55" s="2"/>
      <c r="C55" s="2" t="s">
        <v>68</v>
      </c>
      <c r="D55" s="2"/>
      <c r="E55" s="2" t="s">
        <v>69</v>
      </c>
      <c r="F55" s="16"/>
      <c r="H55" s="15"/>
      <c r="I55" s="2"/>
      <c r="J55" s="2"/>
      <c r="K55" s="2"/>
      <c r="L55" s="2"/>
      <c r="M55" s="2"/>
      <c r="N55" s="2"/>
      <c r="O55" s="2"/>
      <c r="P55" s="2"/>
      <c r="Q55" s="2"/>
      <c r="R55" s="16"/>
    </row>
    <row r="56" spans="1:18" x14ac:dyDescent="0.55000000000000004">
      <c r="A56" s="15" t="s">
        <v>65</v>
      </c>
      <c r="B56" s="2">
        <f>AVERAGE(O9:O16,Y9:Y16)</f>
        <v>69</v>
      </c>
      <c r="C56" s="2" t="s">
        <v>70</v>
      </c>
      <c r="D56" s="2">
        <f>AVERAGE(O9:O16,Y9:Y16)</f>
        <v>69</v>
      </c>
      <c r="E56" s="2" t="s">
        <v>72</v>
      </c>
      <c r="F56" s="16">
        <f>AVERAGE(O9:O16,Y9:Y16)</f>
        <v>69</v>
      </c>
      <c r="H56" s="15" t="s">
        <v>82</v>
      </c>
      <c r="I56" s="2">
        <f>B56</f>
        <v>69</v>
      </c>
      <c r="J56" s="2" t="s">
        <v>85</v>
      </c>
      <c r="K56" s="2">
        <f>B57</f>
        <v>-0.75</v>
      </c>
      <c r="L56" s="2" t="s">
        <v>79</v>
      </c>
      <c r="M56" s="2" t="s">
        <v>85</v>
      </c>
      <c r="N56" s="2">
        <f>B58</f>
        <v>-4.75</v>
      </c>
      <c r="O56" s="2" t="s">
        <v>80</v>
      </c>
      <c r="P56" s="2" t="s">
        <v>85</v>
      </c>
      <c r="Q56" s="2">
        <f>B59</f>
        <v>2</v>
      </c>
      <c r="R56" s="16" t="s">
        <v>81</v>
      </c>
    </row>
    <row r="57" spans="1:18" x14ac:dyDescent="0.55000000000000004">
      <c r="A57" s="15" t="s">
        <v>74</v>
      </c>
      <c r="B57" s="2">
        <f>AVERAGE(O10,O12,O15:O16,Y10,Y12,Y15:Y16)-AVERAGE(O9,O11,O13:O14,Y9,Y11,Y13:Y14)</f>
        <v>-0.75</v>
      </c>
      <c r="C57" s="2" t="s">
        <v>74</v>
      </c>
      <c r="D57" s="2">
        <f>AVERAGE(O10,O12,O15:O16,Y10,Y12,Y15:Y16)-AVERAGE(O9,O11,O13:O14,Y9,Y11,Y13:Y14)</f>
        <v>-0.75</v>
      </c>
      <c r="E57" s="2" t="s">
        <v>77</v>
      </c>
      <c r="F57" s="16">
        <f>AVERAGE(O11:O12,O14,O16,Y11:Y12,Y14,Y16)-AVERAGE(O9:O10,O13,O15,Y9:Y10,Y13,Y15)</f>
        <v>-4.75</v>
      </c>
      <c r="H57" s="15" t="s">
        <v>83</v>
      </c>
      <c r="I57" s="2">
        <f>D56</f>
        <v>69</v>
      </c>
      <c r="J57" s="2" t="s">
        <v>85</v>
      </c>
      <c r="K57" s="2">
        <f>D57</f>
        <v>-0.75</v>
      </c>
      <c r="L57" s="2" t="s">
        <v>79</v>
      </c>
      <c r="M57" s="2" t="s">
        <v>85</v>
      </c>
      <c r="N57" s="2">
        <f>D58</f>
        <v>5</v>
      </c>
      <c r="O57" s="2" t="s">
        <v>86</v>
      </c>
      <c r="P57" s="2" t="s">
        <v>85</v>
      </c>
      <c r="Q57" s="2">
        <f>D59</f>
        <v>2.75</v>
      </c>
      <c r="R57" s="16" t="s">
        <v>87</v>
      </c>
    </row>
    <row r="58" spans="1:18" x14ac:dyDescent="0.55000000000000004">
      <c r="A58" s="15" t="s">
        <v>75</v>
      </c>
      <c r="B58" s="2">
        <f>AVERAGE(O11:O12,O14,O16,Y11:Y12,Y14,Y16)-AVERAGE(O9:O10,O13,O15,Y9:Y10,Y13,Y15)</f>
        <v>-4.75</v>
      </c>
      <c r="C58" s="2" t="s">
        <v>76</v>
      </c>
      <c r="D58" s="2">
        <f>AVERAGE(O13:O16,Y13:Y16)-AVERAGE(O9:O12,Y9:Y12)</f>
        <v>5</v>
      </c>
      <c r="E58" s="2" t="s">
        <v>76</v>
      </c>
      <c r="F58" s="16">
        <f>AVERAGE(O13:O16,Y13:Y16)-AVERAGE(O9:O12,Y9:Y12)</f>
        <v>5</v>
      </c>
      <c r="H58" s="17" t="s">
        <v>84</v>
      </c>
      <c r="I58" s="18">
        <f>F56</f>
        <v>69</v>
      </c>
      <c r="J58" s="18" t="s">
        <v>85</v>
      </c>
      <c r="K58" s="18">
        <f>F57</f>
        <v>-4.75</v>
      </c>
      <c r="L58" s="18" t="s">
        <v>80</v>
      </c>
      <c r="M58" s="18" t="s">
        <v>85</v>
      </c>
      <c r="N58" s="18">
        <f>F58</f>
        <v>5</v>
      </c>
      <c r="O58" s="18" t="s">
        <v>86</v>
      </c>
      <c r="P58" s="18" t="s">
        <v>85</v>
      </c>
      <c r="Q58" s="18">
        <f>F59</f>
        <v>-3.75</v>
      </c>
      <c r="R58" s="19" t="s">
        <v>88</v>
      </c>
    </row>
    <row r="59" spans="1:18" x14ac:dyDescent="0.55000000000000004">
      <c r="A59" s="17" t="s">
        <v>66</v>
      </c>
      <c r="B59" s="18">
        <f>AVERAGE(O9,O12:O13,O16,Y9,Y12:Y13,Y16)-AVERAGE(O10:O11,O14:O15,Y10:Y11,Y14:Y15)</f>
        <v>2</v>
      </c>
      <c r="C59" s="18" t="s">
        <v>71</v>
      </c>
      <c r="D59" s="18">
        <f>AVERAGE(O9,O11,O15:O16,Y9,Y11,Y15:Y16)-AVERAGE(O10,O12:O14,Y10,Y12:Y14)</f>
        <v>2.75</v>
      </c>
      <c r="E59" s="18" t="s">
        <v>71</v>
      </c>
      <c r="F59" s="19">
        <f>AVERAGE(O9:O10,O14,O16,Y9:Y10,Y14,Y16)-AVERAGE(O11:O13,O15,Y11:Y13,Y15)</f>
        <v>-3.75</v>
      </c>
    </row>
  </sheetData>
  <mergeCells count="16">
    <mergeCell ref="A54:F54"/>
    <mergeCell ref="A47:F47"/>
    <mergeCell ref="A40:F40"/>
    <mergeCell ref="H40:R40"/>
    <mergeCell ref="A32:C32"/>
    <mergeCell ref="G32:I32"/>
    <mergeCell ref="D32:F32"/>
    <mergeCell ref="A31:I31"/>
    <mergeCell ref="A18:C18"/>
    <mergeCell ref="G18:I18"/>
    <mergeCell ref="A25:C25"/>
    <mergeCell ref="G25:I25"/>
    <mergeCell ref="D18:F18"/>
    <mergeCell ref="D25:F25"/>
    <mergeCell ref="A24:I24"/>
    <mergeCell ref="A17:I17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topLeftCell="A13" zoomScale="80" zoomScaleNormal="80" workbookViewId="0">
      <selection activeCell="L14" sqref="L14"/>
    </sheetView>
  </sheetViews>
  <sheetFormatPr defaultRowHeight="14.4" x14ac:dyDescent="0.55000000000000004"/>
  <cols>
    <col min="1" max="1" width="13.15625" bestFit="1" customWidth="1"/>
    <col min="2" max="2" width="4.89453125" bestFit="1" customWidth="1"/>
    <col min="3" max="3" width="7.15625" customWidth="1"/>
    <col min="4" max="4" width="4.578125" customWidth="1"/>
    <col min="5" max="5" width="5" customWidth="1"/>
    <col min="6" max="6" width="6.41796875" customWidth="1"/>
    <col min="7" max="7" width="5.47265625" customWidth="1"/>
    <col min="8" max="14" width="8.83984375" customWidth="1"/>
    <col min="16" max="16" width="13.15625" bestFit="1" customWidth="1"/>
    <col min="17" max="24" width="8.83984375" customWidth="1"/>
  </cols>
  <sheetData>
    <row r="1" spans="1:34" x14ac:dyDescent="0.55000000000000004">
      <c r="A1" t="s">
        <v>4</v>
      </c>
    </row>
    <row r="2" spans="1:34" x14ac:dyDescent="0.55000000000000004">
      <c r="A2" t="s">
        <v>0</v>
      </c>
      <c r="B2" t="s">
        <v>5</v>
      </c>
      <c r="C2">
        <v>25</v>
      </c>
    </row>
    <row r="3" spans="1:34" x14ac:dyDescent="0.55000000000000004">
      <c r="A3" t="s">
        <v>1</v>
      </c>
      <c r="B3" t="s">
        <v>5</v>
      </c>
      <c r="C3">
        <v>26</v>
      </c>
    </row>
    <row r="4" spans="1:34" x14ac:dyDescent="0.55000000000000004">
      <c r="A4" t="s">
        <v>2</v>
      </c>
      <c r="B4" t="s">
        <v>5</v>
      </c>
      <c r="C4">
        <v>77</v>
      </c>
    </row>
    <row r="5" spans="1:34" x14ac:dyDescent="0.55000000000000004">
      <c r="A5" t="s">
        <v>3</v>
      </c>
      <c r="B5" t="s">
        <v>5</v>
      </c>
      <c r="C5">
        <v>237</v>
      </c>
    </row>
    <row r="7" spans="1:34" x14ac:dyDescent="0.55000000000000004">
      <c r="H7" s="8" t="s">
        <v>17</v>
      </c>
      <c r="I7" s="8"/>
      <c r="J7" s="8"/>
      <c r="K7" s="8"/>
      <c r="L7" s="8"/>
      <c r="M7" s="8"/>
      <c r="N7" s="8"/>
      <c r="O7" s="8"/>
      <c r="P7" s="7"/>
      <c r="Q7" s="7"/>
      <c r="R7" s="7" t="s">
        <v>16</v>
      </c>
      <c r="S7" s="7"/>
      <c r="T7" s="7"/>
      <c r="U7" s="7"/>
      <c r="V7" s="7"/>
      <c r="W7" s="7"/>
      <c r="X7" s="7"/>
      <c r="Y7" s="7"/>
      <c r="Z7" s="4" t="s">
        <v>13</v>
      </c>
      <c r="AA7" s="4"/>
      <c r="AB7" s="4"/>
      <c r="AC7" s="5" t="s">
        <v>48</v>
      </c>
      <c r="AD7" s="5"/>
      <c r="AE7" s="5"/>
      <c r="AF7" s="6" t="s">
        <v>32</v>
      </c>
      <c r="AG7" s="6"/>
      <c r="AH7" s="6"/>
    </row>
    <row r="8" spans="1:34" ht="17.7" x14ac:dyDescent="0.75">
      <c r="A8" t="s">
        <v>15</v>
      </c>
      <c r="B8" t="s">
        <v>6</v>
      </c>
      <c r="C8" t="s">
        <v>8</v>
      </c>
      <c r="D8" t="s">
        <v>7</v>
      </c>
      <c r="E8" t="s">
        <v>9</v>
      </c>
      <c r="F8" t="s">
        <v>10</v>
      </c>
      <c r="G8" t="s">
        <v>27</v>
      </c>
      <c r="H8" t="s">
        <v>28</v>
      </c>
      <c r="I8" t="s">
        <v>30</v>
      </c>
      <c r="J8" t="s">
        <v>43</v>
      </c>
      <c r="K8" t="s">
        <v>29</v>
      </c>
      <c r="L8" t="s">
        <v>45</v>
      </c>
      <c r="M8" t="s">
        <v>12</v>
      </c>
      <c r="N8" t="s">
        <v>33</v>
      </c>
      <c r="O8" t="s">
        <v>26</v>
      </c>
      <c r="P8" t="s">
        <v>44</v>
      </c>
      <c r="Q8" t="s">
        <v>41</v>
      </c>
      <c r="R8" t="s">
        <v>14</v>
      </c>
      <c r="S8" t="s">
        <v>31</v>
      </c>
      <c r="T8" t="s">
        <v>43</v>
      </c>
      <c r="U8" t="s">
        <v>11</v>
      </c>
      <c r="V8" t="s">
        <v>48</v>
      </c>
      <c r="W8" t="s">
        <v>12</v>
      </c>
      <c r="X8" t="s">
        <v>34</v>
      </c>
      <c r="Y8" t="s">
        <v>13</v>
      </c>
      <c r="Z8" t="s">
        <v>18</v>
      </c>
      <c r="AA8" t="s">
        <v>20</v>
      </c>
      <c r="AB8" t="s">
        <v>19</v>
      </c>
      <c r="AC8" t="s">
        <v>18</v>
      </c>
      <c r="AD8" t="s">
        <v>20</v>
      </c>
      <c r="AE8" t="s">
        <v>19</v>
      </c>
      <c r="AF8" t="s">
        <v>18</v>
      </c>
      <c r="AG8" t="s">
        <v>20</v>
      </c>
      <c r="AH8" t="s">
        <v>19</v>
      </c>
    </row>
    <row r="9" spans="1:34" x14ac:dyDescent="0.55000000000000004">
      <c r="A9" s="9">
        <v>43211.081944444442</v>
      </c>
      <c r="B9">
        <v>1</v>
      </c>
      <c r="C9">
        <v>-1</v>
      </c>
      <c r="D9">
        <v>-1</v>
      </c>
      <c r="E9">
        <v>-1</v>
      </c>
      <c r="F9">
        <f>C9*D9*E9</f>
        <v>-1</v>
      </c>
      <c r="G9">
        <v>513</v>
      </c>
      <c r="H9">
        <v>256</v>
      </c>
      <c r="I9" t="s">
        <v>35</v>
      </c>
      <c r="J9">
        <v>77</v>
      </c>
      <c r="K9">
        <v>247</v>
      </c>
      <c r="L9">
        <v>61</v>
      </c>
      <c r="M9">
        <v>0.27</v>
      </c>
      <c r="N9">
        <v>52</v>
      </c>
      <c r="O9">
        <v>494</v>
      </c>
      <c r="P9" s="1">
        <v>43202.181250000001</v>
      </c>
      <c r="Q9">
        <v>512</v>
      </c>
      <c r="R9">
        <v>268</v>
      </c>
      <c r="S9" t="s">
        <v>42</v>
      </c>
      <c r="T9">
        <v>25</v>
      </c>
      <c r="U9">
        <v>210</v>
      </c>
      <c r="V9">
        <f>(Q9-R9)-(U9-T9)</f>
        <v>59</v>
      </c>
      <c r="W9">
        <v>0.26</v>
      </c>
      <c r="X9">
        <v>51.66</v>
      </c>
      <c r="Y9">
        <f>(589783-143635)/1000</f>
        <v>446.14800000000002</v>
      </c>
      <c r="Z9">
        <f>AVERAGE(O9,Y9)</f>
        <v>470.07400000000001</v>
      </c>
      <c r="AA9">
        <f>((O9-Z9)^2+(Y9-Z9)^2)/(2-1)</f>
        <v>1144.9069519999989</v>
      </c>
      <c r="AB9">
        <f>SQRT(AA9)</f>
        <v>33.836473693338654</v>
      </c>
      <c r="AC9">
        <f t="shared" ref="AC9:AC16" si="0">AVERAGE(L9,V9)</f>
        <v>60</v>
      </c>
      <c r="AD9">
        <f>((L9-AC9)^2+(V9-AC9)^2)/(2-1)</f>
        <v>2</v>
      </c>
      <c r="AE9">
        <f>SQRT(AD9)</f>
        <v>1.4142135623730951</v>
      </c>
      <c r="AF9">
        <f>AVERAGE(N9,X9)</f>
        <v>51.83</v>
      </c>
      <c r="AG9">
        <f>((N9-AF9)^2+(X9-AF9)^2)/(2-1)</f>
        <v>5.7800000000001163E-2</v>
      </c>
      <c r="AH9">
        <f>SQRT(AG9)</f>
        <v>0.24041630560342858</v>
      </c>
    </row>
    <row r="10" spans="1:34" x14ac:dyDescent="0.55000000000000004">
      <c r="A10" s="1">
        <v>43211.094444444447</v>
      </c>
      <c r="B10">
        <v>2</v>
      </c>
      <c r="C10">
        <v>1</v>
      </c>
      <c r="D10">
        <v>-1</v>
      </c>
      <c r="E10">
        <v>-1</v>
      </c>
      <c r="F10">
        <f t="shared" ref="F10:F16" si="1">C10*D10*E10</f>
        <v>1</v>
      </c>
      <c r="G10">
        <v>521</v>
      </c>
      <c r="H10">
        <v>261</v>
      </c>
      <c r="I10" t="s">
        <v>0</v>
      </c>
      <c r="J10">
        <v>25</v>
      </c>
      <c r="K10">
        <v>220</v>
      </c>
      <c r="L10">
        <v>60</v>
      </c>
      <c r="M10">
        <v>0.28000000000000003</v>
      </c>
      <c r="N10">
        <v>66</v>
      </c>
      <c r="O10">
        <v>490</v>
      </c>
      <c r="P10" s="1">
        <v>43211.166666666664</v>
      </c>
      <c r="Q10">
        <v>516</v>
      </c>
      <c r="R10">
        <v>271</v>
      </c>
      <c r="S10" t="s">
        <v>42</v>
      </c>
      <c r="T10">
        <v>25</v>
      </c>
      <c r="U10">
        <v>213</v>
      </c>
      <c r="V10">
        <f t="shared" ref="V10:V16" si="2">(Q10-R10)-(U10-T10)</f>
        <v>57</v>
      </c>
      <c r="W10">
        <f>0.27</f>
        <v>0.27</v>
      </c>
      <c r="X10">
        <v>67.73</v>
      </c>
      <c r="Y10">
        <f>(1157316-619644)/1000</f>
        <v>537.67200000000003</v>
      </c>
      <c r="Z10">
        <f t="shared" ref="Z10:Z16" si="3">AVERAGE(O10,Y10)</f>
        <v>513.83600000000001</v>
      </c>
      <c r="AA10">
        <f t="shared" ref="AA10:AA16" si="4">((O10-Z10)^2+(Y10-Z10)^2)/(2-1)</f>
        <v>1136.3097920000012</v>
      </c>
      <c r="AB10">
        <f t="shared" ref="AB10:AB16" si="5">SQRT(AA10)</f>
        <v>33.709194472725109</v>
      </c>
      <c r="AC10">
        <f t="shared" si="0"/>
        <v>58.5</v>
      </c>
      <c r="AD10">
        <f t="shared" ref="AD10:AD16" si="6">((L10-AC10)^2+(V10-AC10)^2)/(2-1)</f>
        <v>4.5</v>
      </c>
      <c r="AE10">
        <f t="shared" ref="AE10:AE16" si="7">SQRT(AD10)</f>
        <v>2.1213203435596424</v>
      </c>
      <c r="AF10">
        <f t="shared" ref="AF10:AF16" si="8">AVERAGE(N10,X10)</f>
        <v>66.865000000000009</v>
      </c>
      <c r="AG10">
        <f t="shared" ref="AG10:AG16" si="9">((N10-AF10)^2+(X10-AF10)^2)/(2-1)</f>
        <v>1.4964500000000069</v>
      </c>
      <c r="AH10">
        <f t="shared" ref="AH10:AH16" si="10">SQRT(AG10)</f>
        <v>1.22329473145273</v>
      </c>
    </row>
    <row r="11" spans="1:34" x14ac:dyDescent="0.55000000000000004">
      <c r="A11" s="1">
        <v>43210.19027777778</v>
      </c>
      <c r="B11">
        <v>3</v>
      </c>
      <c r="C11">
        <v>-1</v>
      </c>
      <c r="D11">
        <v>1</v>
      </c>
      <c r="E11">
        <v>-1</v>
      </c>
      <c r="F11">
        <f t="shared" si="1"/>
        <v>1</v>
      </c>
      <c r="G11">
        <v>513</v>
      </c>
      <c r="H11">
        <v>243</v>
      </c>
      <c r="I11" t="s">
        <v>0</v>
      </c>
      <c r="J11">
        <v>25</v>
      </c>
      <c r="K11">
        <v>222</v>
      </c>
      <c r="L11">
        <v>56</v>
      </c>
      <c r="M11">
        <v>0.28000000000000003</v>
      </c>
      <c r="N11">
        <v>69</v>
      </c>
      <c r="O11">
        <v>420</v>
      </c>
      <c r="Q11">
        <v>508</v>
      </c>
      <c r="R11">
        <v>246</v>
      </c>
      <c r="S11" t="s">
        <v>42</v>
      </c>
      <c r="T11">
        <v>25</v>
      </c>
      <c r="U11">
        <v>233</v>
      </c>
      <c r="V11">
        <f t="shared" si="2"/>
        <v>54</v>
      </c>
      <c r="W11">
        <v>0.28000000000000003</v>
      </c>
      <c r="X11">
        <v>70.266999999999996</v>
      </c>
      <c r="Y11">
        <f>(431110-54132)/1000</f>
        <v>376.97800000000001</v>
      </c>
      <c r="Z11">
        <f t="shared" si="3"/>
        <v>398.48900000000003</v>
      </c>
      <c r="AA11">
        <f t="shared" si="4"/>
        <v>925.44624199999953</v>
      </c>
      <c r="AB11">
        <f t="shared" si="5"/>
        <v>30.421147940207639</v>
      </c>
      <c r="AC11">
        <f t="shared" si="0"/>
        <v>55</v>
      </c>
      <c r="AD11">
        <f t="shared" si="6"/>
        <v>2</v>
      </c>
      <c r="AE11">
        <f t="shared" si="7"/>
        <v>1.4142135623730951</v>
      </c>
      <c r="AF11">
        <f t="shared" si="8"/>
        <v>69.633499999999998</v>
      </c>
      <c r="AG11">
        <f t="shared" si="9"/>
        <v>0.80264449999999476</v>
      </c>
      <c r="AH11">
        <f t="shared" si="10"/>
        <v>0.89590429176335284</v>
      </c>
    </row>
    <row r="12" spans="1:34" x14ac:dyDescent="0.55000000000000004">
      <c r="A12" s="1">
        <v>43211.058333333334</v>
      </c>
      <c r="B12">
        <v>4</v>
      </c>
      <c r="C12">
        <v>1</v>
      </c>
      <c r="D12">
        <v>1</v>
      </c>
      <c r="E12">
        <v>-1</v>
      </c>
      <c r="F12">
        <f t="shared" si="1"/>
        <v>-1</v>
      </c>
      <c r="G12">
        <v>510</v>
      </c>
      <c r="H12">
        <v>250</v>
      </c>
      <c r="I12" t="s">
        <v>1</v>
      </c>
      <c r="J12">
        <v>26</v>
      </c>
      <c r="K12">
        <v>215</v>
      </c>
      <c r="L12">
        <v>67</v>
      </c>
      <c r="M12">
        <v>0.27</v>
      </c>
      <c r="N12">
        <v>63.875</v>
      </c>
      <c r="O12">
        <v>500</v>
      </c>
      <c r="P12" s="1">
        <v>43211.15625</v>
      </c>
      <c r="Q12">
        <v>506</v>
      </c>
      <c r="R12">
        <v>252</v>
      </c>
      <c r="S12" t="s">
        <v>1</v>
      </c>
      <c r="T12">
        <v>26</v>
      </c>
      <c r="U12">
        <v>214</v>
      </c>
      <c r="V12">
        <f t="shared" si="2"/>
        <v>66</v>
      </c>
      <c r="W12">
        <v>0.27</v>
      </c>
      <c r="X12">
        <v>64.015600000000006</v>
      </c>
      <c r="Y12">
        <f>(1157316-619644)/1000</f>
        <v>537.67200000000003</v>
      </c>
      <c r="Z12">
        <f t="shared" si="3"/>
        <v>518.83600000000001</v>
      </c>
      <c r="AA12">
        <f>((O12-Z12)^2+(Y12-Z12)^2)/(2-1)</f>
        <v>709.58979200000101</v>
      </c>
      <c r="AB12">
        <f t="shared" si="5"/>
        <v>26.638126660859637</v>
      </c>
      <c r="AC12">
        <f t="shared" si="0"/>
        <v>66.5</v>
      </c>
      <c r="AD12">
        <f>((L12-AC12)^2+(V12-AC12)^2)/(2-1)</f>
        <v>0.5</v>
      </c>
      <c r="AE12">
        <f t="shared" si="7"/>
        <v>0.70710678118654757</v>
      </c>
      <c r="AF12">
        <f t="shared" si="8"/>
        <v>63.945300000000003</v>
      </c>
      <c r="AG12">
        <f t="shared" si="9"/>
        <v>9.8841800000008823E-3</v>
      </c>
      <c r="AH12">
        <f t="shared" si="10"/>
        <v>9.9419213434833023E-2</v>
      </c>
    </row>
    <row r="13" spans="1:34" x14ac:dyDescent="0.55000000000000004">
      <c r="A13" s="1">
        <v>43210.169444444444</v>
      </c>
      <c r="B13">
        <v>5</v>
      </c>
      <c r="C13">
        <v>-1</v>
      </c>
      <c r="D13">
        <v>-1</v>
      </c>
      <c r="E13">
        <v>1</v>
      </c>
      <c r="F13">
        <f t="shared" si="1"/>
        <v>1</v>
      </c>
      <c r="G13">
        <v>521</v>
      </c>
      <c r="H13">
        <v>260</v>
      </c>
      <c r="I13" t="s">
        <v>0</v>
      </c>
      <c r="J13">
        <v>25</v>
      </c>
      <c r="K13">
        <v>210</v>
      </c>
      <c r="L13">
        <v>73</v>
      </c>
      <c r="M13">
        <v>0.27</v>
      </c>
      <c r="N13">
        <v>63.5625</v>
      </c>
      <c r="O13">
        <v>390</v>
      </c>
      <c r="P13" s="1">
        <v>43211.208333333336</v>
      </c>
      <c r="Q13">
        <v>498</v>
      </c>
      <c r="R13">
        <v>273</v>
      </c>
      <c r="S13" t="s">
        <v>1</v>
      </c>
      <c r="T13">
        <v>26</v>
      </c>
      <c r="U13">
        <v>182</v>
      </c>
      <c r="V13">
        <f t="shared" si="2"/>
        <v>69</v>
      </c>
      <c r="W13">
        <v>0.27</v>
      </c>
      <c r="X13">
        <v>62.92</v>
      </c>
      <c r="Y13">
        <f>(468113-125634)/1000</f>
        <v>342.47899999999998</v>
      </c>
      <c r="Z13">
        <f t="shared" si="3"/>
        <v>366.23950000000002</v>
      </c>
      <c r="AA13">
        <f t="shared" si="4"/>
        <v>1129.1227205000007</v>
      </c>
      <c r="AB13">
        <f t="shared" si="5"/>
        <v>33.602421348765937</v>
      </c>
      <c r="AC13">
        <f t="shared" si="0"/>
        <v>71</v>
      </c>
      <c r="AD13">
        <f>((L13-AC13)^2+(V13-AC13)^2)/(2-1)</f>
        <v>8</v>
      </c>
      <c r="AE13">
        <f t="shared" si="7"/>
        <v>2.8284271247461903</v>
      </c>
      <c r="AF13">
        <f t="shared" si="8"/>
        <v>63.241250000000001</v>
      </c>
      <c r="AG13">
        <f t="shared" si="9"/>
        <v>0.20640312499999891</v>
      </c>
      <c r="AH13">
        <f t="shared" si="10"/>
        <v>0.45431610691235558</v>
      </c>
    </row>
    <row r="14" spans="1:34" x14ac:dyDescent="0.55000000000000004">
      <c r="A14" s="1">
        <v>43210.15347222222</v>
      </c>
      <c r="B14">
        <v>6</v>
      </c>
      <c r="C14">
        <v>-1</v>
      </c>
      <c r="D14">
        <v>1</v>
      </c>
      <c r="E14">
        <v>1</v>
      </c>
      <c r="F14">
        <f t="shared" si="1"/>
        <v>-1</v>
      </c>
      <c r="G14">
        <v>514</v>
      </c>
      <c r="H14">
        <v>243</v>
      </c>
      <c r="I14" t="s">
        <v>1</v>
      </c>
      <c r="J14">
        <v>26</v>
      </c>
      <c r="K14">
        <v>223</v>
      </c>
      <c r="L14">
        <v>62</v>
      </c>
      <c r="M14">
        <v>0.27</v>
      </c>
      <c r="N14">
        <v>65</v>
      </c>
      <c r="O14">
        <v>400</v>
      </c>
      <c r="P14" s="1">
        <v>43211.229166666664</v>
      </c>
      <c r="Q14">
        <v>502</v>
      </c>
      <c r="R14">
        <v>251</v>
      </c>
      <c r="S14" t="s">
        <v>1</v>
      </c>
      <c r="T14">
        <v>26</v>
      </c>
      <c r="U14">
        <v>214</v>
      </c>
      <c r="V14">
        <f t="shared" si="2"/>
        <v>63</v>
      </c>
      <c r="W14">
        <v>0.27</v>
      </c>
      <c r="X14">
        <v>66.9375</v>
      </c>
      <c r="Y14">
        <f>(1931393-1562166)/1000</f>
        <v>369.22699999999998</v>
      </c>
      <c r="Z14">
        <f t="shared" si="3"/>
        <v>384.61349999999999</v>
      </c>
      <c r="AA14">
        <f t="shared" si="4"/>
        <v>473.48876450000074</v>
      </c>
      <c r="AB14">
        <f t="shared" si="5"/>
        <v>21.759796977453643</v>
      </c>
      <c r="AC14">
        <f t="shared" si="0"/>
        <v>62.5</v>
      </c>
      <c r="AD14">
        <f t="shared" si="6"/>
        <v>0.5</v>
      </c>
      <c r="AE14">
        <f t="shared" si="7"/>
        <v>0.70710678118654757</v>
      </c>
      <c r="AF14">
        <f t="shared" si="8"/>
        <v>65.96875</v>
      </c>
      <c r="AG14">
        <f t="shared" si="9"/>
        <v>1.876953125</v>
      </c>
      <c r="AH14">
        <f t="shared" si="10"/>
        <v>1.3700193885489358</v>
      </c>
    </row>
    <row r="15" spans="1:34" x14ac:dyDescent="0.55000000000000004">
      <c r="A15" s="1">
        <v>43210.085416666669</v>
      </c>
      <c r="B15">
        <v>7</v>
      </c>
      <c r="C15">
        <v>1</v>
      </c>
      <c r="D15">
        <v>-1</v>
      </c>
      <c r="E15">
        <v>1</v>
      </c>
      <c r="F15">
        <f t="shared" si="1"/>
        <v>-1</v>
      </c>
      <c r="G15">
        <v>520</v>
      </c>
      <c r="H15">
        <v>285</v>
      </c>
      <c r="I15" t="s">
        <v>0</v>
      </c>
      <c r="J15">
        <v>25</v>
      </c>
      <c r="K15">
        <v>168</v>
      </c>
      <c r="L15">
        <v>64</v>
      </c>
      <c r="M15">
        <v>0.26</v>
      </c>
      <c r="N15">
        <v>70</v>
      </c>
      <c r="O15">
        <v>459</v>
      </c>
      <c r="P15" s="1">
        <v>43211.270833333336</v>
      </c>
      <c r="Q15">
        <v>510</v>
      </c>
      <c r="R15">
        <v>269</v>
      </c>
      <c r="S15" t="s">
        <v>42</v>
      </c>
      <c r="T15">
        <v>25</v>
      </c>
      <c r="U15">
        <v>200</v>
      </c>
      <c r="V15">
        <f t="shared" si="2"/>
        <v>66</v>
      </c>
      <c r="W15">
        <v>0.27</v>
      </c>
      <c r="X15">
        <v>71.625</v>
      </c>
      <c r="Y15">
        <f>(535961-126134)/1000</f>
        <v>409.827</v>
      </c>
      <c r="Z15">
        <f t="shared" si="3"/>
        <v>434.4135</v>
      </c>
      <c r="AA15">
        <f t="shared" si="4"/>
        <v>1208.9919645</v>
      </c>
      <c r="AB15">
        <f t="shared" si="5"/>
        <v>34.770561751286102</v>
      </c>
      <c r="AC15">
        <f t="shared" si="0"/>
        <v>65</v>
      </c>
      <c r="AD15">
        <f t="shared" si="6"/>
        <v>2</v>
      </c>
      <c r="AE15">
        <f t="shared" si="7"/>
        <v>1.4142135623730951</v>
      </c>
      <c r="AF15">
        <f t="shared" si="8"/>
        <v>70.8125</v>
      </c>
      <c r="AG15">
        <f t="shared" si="9"/>
        <v>1.3203125</v>
      </c>
      <c r="AH15">
        <f t="shared" si="10"/>
        <v>1.1490485194281397</v>
      </c>
    </row>
    <row r="16" spans="1:34" x14ac:dyDescent="0.55000000000000004">
      <c r="A16" s="3">
        <v>43210.151388888888</v>
      </c>
      <c r="B16">
        <v>8</v>
      </c>
      <c r="C16">
        <v>1</v>
      </c>
      <c r="D16">
        <v>1</v>
      </c>
      <c r="E16">
        <v>1</v>
      </c>
      <c r="F16">
        <f t="shared" si="1"/>
        <v>1</v>
      </c>
      <c r="G16">
        <v>505</v>
      </c>
      <c r="H16">
        <v>247</v>
      </c>
      <c r="I16" t="s">
        <v>35</v>
      </c>
      <c r="J16">
        <v>77</v>
      </c>
      <c r="K16">
        <v>264</v>
      </c>
      <c r="L16">
        <v>65</v>
      </c>
      <c r="M16">
        <v>0.27</v>
      </c>
      <c r="N16">
        <v>61</v>
      </c>
      <c r="O16">
        <f>(559365-137634)/1000</f>
        <v>421.73099999999999</v>
      </c>
      <c r="P16" s="1">
        <v>43211.244444444441</v>
      </c>
      <c r="Q16">
        <v>505</v>
      </c>
      <c r="R16">
        <v>249</v>
      </c>
      <c r="S16" t="s">
        <v>42</v>
      </c>
      <c r="T16">
        <v>25</v>
      </c>
      <c r="U16">
        <v>220</v>
      </c>
      <c r="V16">
        <f t="shared" si="2"/>
        <v>61</v>
      </c>
      <c r="W16">
        <v>0.27</v>
      </c>
      <c r="X16">
        <v>62.09</v>
      </c>
      <c r="Y16">
        <f>(814747-434640)/1000</f>
        <v>380.10700000000003</v>
      </c>
      <c r="Z16">
        <f t="shared" si="3"/>
        <v>400.91899999999998</v>
      </c>
      <c r="AA16">
        <f t="shared" si="4"/>
        <v>866.27868799999862</v>
      </c>
      <c r="AB16">
        <f t="shared" si="5"/>
        <v>29.43261266010883</v>
      </c>
      <c r="AC16">
        <f t="shared" si="0"/>
        <v>63</v>
      </c>
      <c r="AD16">
        <f t="shared" si="6"/>
        <v>8</v>
      </c>
      <c r="AE16">
        <f t="shared" si="7"/>
        <v>2.8284271247461903</v>
      </c>
      <c r="AF16">
        <f t="shared" si="8"/>
        <v>61.545000000000002</v>
      </c>
      <c r="AG16">
        <f t="shared" si="9"/>
        <v>0.59405000000000374</v>
      </c>
      <c r="AH16">
        <f t="shared" si="10"/>
        <v>0.77074639149333923</v>
      </c>
    </row>
    <row r="17" spans="1:33" x14ac:dyDescent="0.55000000000000004">
      <c r="A17" s="14" t="s">
        <v>13</v>
      </c>
      <c r="B17" s="14"/>
      <c r="C17" s="14"/>
      <c r="D17" s="14"/>
      <c r="E17" s="14"/>
      <c r="F17" s="14"/>
      <c r="G17" s="14"/>
      <c r="H17" s="14"/>
      <c r="I17" s="14"/>
      <c r="Z17" t="s">
        <v>56</v>
      </c>
      <c r="AA17">
        <f>SUM(AA9:AA16)/8</f>
        <v>949.26686443750009</v>
      </c>
      <c r="AC17" t="s">
        <v>56</v>
      </c>
      <c r="AD17">
        <f>SUM(AD9:AD16)/8</f>
        <v>3.4375</v>
      </c>
      <c r="AF17" t="s">
        <v>56</v>
      </c>
      <c r="AG17">
        <f>SUM(AG9:AG16)/8</f>
        <v>0.79556217875000079</v>
      </c>
    </row>
    <row r="18" spans="1:33" s="2" customFormat="1" x14ac:dyDescent="0.55000000000000004">
      <c r="A18" s="13" t="s">
        <v>8</v>
      </c>
      <c r="B18" s="13"/>
      <c r="C18" s="13"/>
      <c r="D18" s="13" t="s">
        <v>46</v>
      </c>
      <c r="E18" s="13"/>
      <c r="F18" s="13"/>
      <c r="G18" s="13" t="s">
        <v>9</v>
      </c>
      <c r="H18" s="13"/>
      <c r="I18" s="13"/>
      <c r="Z18" s="2" t="s">
        <v>57</v>
      </c>
      <c r="AA18" s="2">
        <f>SQRT(AA17)</f>
        <v>30.810174690149033</v>
      </c>
      <c r="AC18" s="2" t="s">
        <v>57</v>
      </c>
      <c r="AD18" s="2">
        <f>SQRT(AD17)</f>
        <v>1.8540496217739157</v>
      </c>
      <c r="AF18" s="2" t="s">
        <v>57</v>
      </c>
      <c r="AG18" s="2">
        <f>SQRT(AG17)</f>
        <v>0.89194292348221516</v>
      </c>
    </row>
    <row r="19" spans="1:33" s="2" customFormat="1" x14ac:dyDescent="0.55000000000000004">
      <c r="A19" s="2" t="s">
        <v>21</v>
      </c>
      <c r="B19" s="2" t="s">
        <v>22</v>
      </c>
      <c r="C19" s="11">
        <f>AVERAGE(O9:O16,Y9:Y16)</f>
        <v>435.92756249999996</v>
      </c>
      <c r="D19" s="2" t="s">
        <v>21</v>
      </c>
      <c r="E19" s="10" t="s">
        <v>22</v>
      </c>
      <c r="F19" s="2">
        <f>AVERAGE(O9:O16,Y9:Y16)</f>
        <v>435.92756249999996</v>
      </c>
      <c r="G19" s="2" t="s">
        <v>21</v>
      </c>
      <c r="H19" s="10" t="s">
        <v>22</v>
      </c>
      <c r="I19" s="11">
        <f>AVERAGE(O9:O16,Y9:Y16)</f>
        <v>435.92756249999996</v>
      </c>
      <c r="Z19" s="2" t="s">
        <v>58</v>
      </c>
      <c r="AA19" s="2">
        <f>AA18/SQRT(16)</f>
        <v>7.7025436725372582</v>
      </c>
      <c r="AC19" s="2" t="s">
        <v>58</v>
      </c>
      <c r="AD19" s="2">
        <f>AD18/SQRT(16)</f>
        <v>0.46351240544347894</v>
      </c>
      <c r="AF19" s="2" t="s">
        <v>58</v>
      </c>
      <c r="AG19" s="2">
        <f>AG18/SQRT(16)</f>
        <v>0.22298573087055379</v>
      </c>
    </row>
    <row r="20" spans="1:33" s="2" customFormat="1" x14ac:dyDescent="0.55000000000000004">
      <c r="A20" s="2" t="s">
        <v>23</v>
      </c>
      <c r="B20" s="2" t="s">
        <v>24</v>
      </c>
      <c r="C20" s="11">
        <f>AVERAGE(O10,O12,O15:O16,Y10,Y12,Y15:Y16)-AVERAGE(O9,O11,O13:O14,Y9,Y11,Y13:Y14)</f>
        <v>62.147125000000017</v>
      </c>
      <c r="D20" s="2" t="s">
        <v>23</v>
      </c>
      <c r="E20" s="10" t="s">
        <v>38</v>
      </c>
      <c r="F20" s="2">
        <f>AVERAGE(O11,O12,O14,O16,Y11,Y12,Y14,Y16)-AVERAGE(O9,O10,O13,O15,Y9,Y10,Y13,Y15)</f>
        <v>-20.426375000000064</v>
      </c>
      <c r="G20" s="2" t="s">
        <v>23</v>
      </c>
      <c r="H20" s="10" t="s">
        <v>40</v>
      </c>
      <c r="I20" s="11">
        <f>AVERAGE(O13:O16,Y13:Y16)-AVERAGE(O9:O12,Y9:Y12)</f>
        <v>-78.76237500000002</v>
      </c>
      <c r="Z20" s="10" t="s">
        <v>59</v>
      </c>
      <c r="AA20" s="2">
        <f>2*AA19</f>
        <v>15.405087345074516</v>
      </c>
      <c r="AC20" s="10" t="s">
        <v>59</v>
      </c>
      <c r="AD20" s="2">
        <f>2*AD19</f>
        <v>0.92702481088695787</v>
      </c>
      <c r="AF20" s="10" t="s">
        <v>59</v>
      </c>
      <c r="AG20" s="2">
        <f>2*AG19</f>
        <v>0.44597146174110758</v>
      </c>
    </row>
    <row r="21" spans="1:33" x14ac:dyDescent="0.55000000000000004">
      <c r="A21" t="s">
        <v>25</v>
      </c>
      <c r="B21" t="s">
        <v>24</v>
      </c>
      <c r="C21" s="12">
        <f>AVERAGE(O10,O11,O13,O16,Y10,Y11,Y13,Y16)-AVERAGE(O9,O12,O14:O15,Y9,Y12,Y14:Y15)</f>
        <v>-32.113374999999962</v>
      </c>
      <c r="D21" t="s">
        <v>25</v>
      </c>
      <c r="E21" t="s">
        <v>38</v>
      </c>
      <c r="F21">
        <f>AVERAGE(O10,O11,O13,O16,Y10,Y11,Y13,Y16)-AVERAGE(O9,O12,O14,O15,Y9,Y12,Y14,Y15)</f>
        <v>-32.113374999999962</v>
      </c>
      <c r="G21" t="s">
        <v>25</v>
      </c>
      <c r="H21" t="s">
        <v>40</v>
      </c>
      <c r="I21" s="12">
        <f>AVERAGE(O10,O11,O13,O16,Y10,Y11,Y13,Y16)-AVERAGE(O9,O12,O14,O15,Y9,Y12,Y14,Y15)</f>
        <v>-32.113374999999962</v>
      </c>
    </row>
    <row r="22" spans="1:33" x14ac:dyDescent="0.55000000000000004">
      <c r="A22" t="s">
        <v>36</v>
      </c>
      <c r="B22" t="s">
        <v>24</v>
      </c>
      <c r="C22" s="12">
        <f>C20/2</f>
        <v>31.073562500000008</v>
      </c>
      <c r="D22" t="s">
        <v>36</v>
      </c>
      <c r="E22" t="s">
        <v>38</v>
      </c>
      <c r="F22">
        <f>F20/2</f>
        <v>-10.213187500000032</v>
      </c>
      <c r="G22" t="s">
        <v>36</v>
      </c>
      <c r="H22" t="s">
        <v>40</v>
      </c>
      <c r="I22" s="12">
        <f>I20/2</f>
        <v>-39.38118750000001</v>
      </c>
    </row>
    <row r="23" spans="1:33" x14ac:dyDescent="0.55000000000000004">
      <c r="A23" t="s">
        <v>37</v>
      </c>
      <c r="B23" t="s">
        <v>24</v>
      </c>
      <c r="C23" s="12">
        <f>C21/2</f>
        <v>-16.056687499999981</v>
      </c>
      <c r="D23" t="s">
        <v>37</v>
      </c>
      <c r="E23" t="s">
        <v>39</v>
      </c>
      <c r="F23">
        <f>F21/2</f>
        <v>-16.056687499999981</v>
      </c>
      <c r="G23" t="s">
        <v>37</v>
      </c>
      <c r="H23" t="s">
        <v>40</v>
      </c>
      <c r="I23" s="12">
        <f>I21/2</f>
        <v>-16.056687499999981</v>
      </c>
      <c r="Z23" t="s">
        <v>60</v>
      </c>
    </row>
    <row r="24" spans="1:33" x14ac:dyDescent="0.55000000000000004">
      <c r="A24" s="14" t="s">
        <v>47</v>
      </c>
      <c r="B24" s="14"/>
      <c r="C24" s="14"/>
      <c r="D24" s="14"/>
      <c r="E24" s="14"/>
      <c r="F24" s="14"/>
      <c r="G24" s="14"/>
      <c r="H24" s="14"/>
      <c r="I24" s="14"/>
      <c r="Z24" t="s">
        <v>50</v>
      </c>
    </row>
    <row r="25" spans="1:33" x14ac:dyDescent="0.55000000000000004">
      <c r="A25" s="13" t="s">
        <v>8</v>
      </c>
      <c r="B25" s="13"/>
      <c r="C25" s="13"/>
      <c r="D25" s="13" t="s">
        <v>46</v>
      </c>
      <c r="E25" s="13"/>
      <c r="F25" s="13"/>
      <c r="G25" s="13" t="s">
        <v>9</v>
      </c>
      <c r="H25" s="13"/>
      <c r="I25" s="13"/>
      <c r="Z25" t="s">
        <v>53</v>
      </c>
    </row>
    <row r="26" spans="1:33" x14ac:dyDescent="0.55000000000000004">
      <c r="A26" s="2" t="s">
        <v>21</v>
      </c>
      <c r="B26" s="2" t="s">
        <v>22</v>
      </c>
      <c r="C26" s="11">
        <f>AVERAGE(N9:N16,X9:X16)</f>
        <v>64.230162499999992</v>
      </c>
      <c r="D26" s="2" t="s">
        <v>21</v>
      </c>
      <c r="E26" s="10" t="s">
        <v>22</v>
      </c>
      <c r="F26" s="11">
        <f>AVERAGE(N9:N16,X9:X16)</f>
        <v>64.230162499999992</v>
      </c>
      <c r="G26" s="2" t="s">
        <v>21</v>
      </c>
      <c r="H26" s="10" t="s">
        <v>22</v>
      </c>
      <c r="I26" s="11">
        <f>AVERAGE(N9:N16,X9:X16)</f>
        <v>64.230162499999992</v>
      </c>
      <c r="Z26" t="s">
        <v>51</v>
      </c>
    </row>
    <row r="27" spans="1:33" x14ac:dyDescent="0.55000000000000004">
      <c r="A27" s="2" t="s">
        <v>23</v>
      </c>
      <c r="B27" s="2" t="s">
        <v>24</v>
      </c>
      <c r="C27" s="11">
        <f>AVERAGE(N10,N12,N15:N16,X10,X12,X15:X16)-AVERAGE(N9,N11,N13:N14,X9,X11,X13:X14)</f>
        <v>3.1235750000000024</v>
      </c>
      <c r="D27" s="2" t="s">
        <v>23</v>
      </c>
      <c r="E27" s="10" t="s">
        <v>38</v>
      </c>
      <c r="F27" s="11">
        <f>AVERAGE(N11:N12,N14,N16,X11:X12,X14,X16)-AVERAGE(N9:N10,N13,N15,X9:X10,X13,X15)</f>
        <v>2.085950000000004</v>
      </c>
      <c r="G27" s="2" t="s">
        <v>23</v>
      </c>
      <c r="H27" s="10" t="s">
        <v>40</v>
      </c>
      <c r="I27" s="11">
        <f>AVERAGE(N13:N16,X13:X16)-AVERAGE(N9:N12,X9:X12)</f>
        <v>2.3234250000000003</v>
      </c>
      <c r="Z27" t="s">
        <v>54</v>
      </c>
    </row>
    <row r="28" spans="1:33" x14ac:dyDescent="0.55000000000000004">
      <c r="A28" t="s">
        <v>25</v>
      </c>
      <c r="B28" t="s">
        <v>24</v>
      </c>
      <c r="C28" s="12">
        <f>AVERAGE(N10:N11,N13,N16,X10:X11,X13,X16)-AVERAGE(N9,N12,N14:N15,X9,X12,X14:X15)</f>
        <v>2.1820500000000109</v>
      </c>
      <c r="D28" t="s">
        <v>25</v>
      </c>
      <c r="E28" t="s">
        <v>38</v>
      </c>
      <c r="F28" s="12">
        <f>AVERAGE(N10:N11,N13,N16,X10:X11,X13,X16)-AVERAGE(N9,N12,N14:N15,X9,X12,X14:X15)</f>
        <v>2.1820500000000109</v>
      </c>
      <c r="G28" t="s">
        <v>25</v>
      </c>
      <c r="H28" t="s">
        <v>40</v>
      </c>
      <c r="I28" s="12">
        <f>AVERAGE(N10,N11,N13,N16,X10:X11,X13,X16)-AVERAGE(N9,N12,N14:N15,X9,X12,X14:X15)</f>
        <v>2.1820500000000109</v>
      </c>
      <c r="Z28" t="s">
        <v>52</v>
      </c>
    </row>
    <row r="29" spans="1:33" x14ac:dyDescent="0.55000000000000004">
      <c r="A29" t="s">
        <v>36</v>
      </c>
      <c r="B29" t="s">
        <v>24</v>
      </c>
      <c r="C29" s="12">
        <f>C27/2</f>
        <v>1.5617875000000012</v>
      </c>
      <c r="D29" t="s">
        <v>36</v>
      </c>
      <c r="E29" t="s">
        <v>38</v>
      </c>
      <c r="F29" s="12">
        <f>F27/2</f>
        <v>1.042975000000002</v>
      </c>
      <c r="G29" t="s">
        <v>36</v>
      </c>
      <c r="H29" t="s">
        <v>40</v>
      </c>
      <c r="I29" s="12">
        <f>I27/2</f>
        <v>1.1617125000000001</v>
      </c>
      <c r="Z29" t="s">
        <v>55</v>
      </c>
    </row>
    <row r="30" spans="1:33" x14ac:dyDescent="0.55000000000000004">
      <c r="A30" t="s">
        <v>37</v>
      </c>
      <c r="B30" t="s">
        <v>24</v>
      </c>
      <c r="C30" s="12">
        <f>C28/2</f>
        <v>1.0910250000000055</v>
      </c>
      <c r="D30" t="s">
        <v>37</v>
      </c>
      <c r="E30" t="s">
        <v>39</v>
      </c>
      <c r="F30" s="12">
        <f>F28/2</f>
        <v>1.0910250000000055</v>
      </c>
      <c r="G30" t="s">
        <v>37</v>
      </c>
      <c r="H30" t="s">
        <v>40</v>
      </c>
      <c r="I30" s="12">
        <f>I28/2</f>
        <v>1.0910250000000055</v>
      </c>
    </row>
    <row r="31" spans="1:33" x14ac:dyDescent="0.55000000000000004">
      <c r="A31" s="14" t="s">
        <v>48</v>
      </c>
      <c r="B31" s="14"/>
      <c r="C31" s="14"/>
      <c r="D31" s="14"/>
      <c r="E31" s="14"/>
      <c r="F31" s="14"/>
      <c r="G31" s="14"/>
      <c r="H31" s="14"/>
      <c r="I31" s="14"/>
    </row>
    <row r="32" spans="1:33" x14ac:dyDescent="0.55000000000000004">
      <c r="A32" s="13" t="s">
        <v>8</v>
      </c>
      <c r="B32" s="13"/>
      <c r="C32" s="13"/>
      <c r="D32" s="13" t="s">
        <v>46</v>
      </c>
      <c r="E32" s="13"/>
      <c r="F32" s="13"/>
      <c r="G32" s="13" t="s">
        <v>9</v>
      </c>
      <c r="H32" s="13"/>
      <c r="I32" s="13"/>
    </row>
    <row r="33" spans="1:9" x14ac:dyDescent="0.55000000000000004">
      <c r="A33" s="2" t="s">
        <v>21</v>
      </c>
      <c r="B33" s="2" t="s">
        <v>22</v>
      </c>
      <c r="C33" s="11">
        <f>AVERAGE(L9:L16,V9:V16)</f>
        <v>62.6875</v>
      </c>
      <c r="D33" s="2" t="s">
        <v>21</v>
      </c>
      <c r="E33" s="10" t="s">
        <v>22</v>
      </c>
      <c r="F33" s="11">
        <f>AVERAGE(L9:L16,V9:V16)</f>
        <v>62.6875</v>
      </c>
      <c r="G33" s="2" t="s">
        <v>21</v>
      </c>
      <c r="H33" s="10" t="s">
        <v>22</v>
      </c>
      <c r="I33" s="11">
        <f>AVERAGE(L9:L16,V9:V16)</f>
        <v>62.6875</v>
      </c>
    </row>
    <row r="34" spans="1:9" x14ac:dyDescent="0.55000000000000004">
      <c r="A34" s="2" t="s">
        <v>23</v>
      </c>
      <c r="B34" s="2" t="s">
        <v>24</v>
      </c>
      <c r="C34" s="11">
        <f>AVERAGE(L10,L12,L15:L16,V10,V12,V15:V16)-AVERAGE(L9,L11,L13:L14,V9,V11,V13:V14)</f>
        <v>1.125</v>
      </c>
      <c r="D34" s="2" t="s">
        <v>23</v>
      </c>
      <c r="E34" s="10" t="s">
        <v>38</v>
      </c>
      <c r="F34" s="11">
        <f>AVERAGE(L11:L12,L14,L16,V11:V12,V14,V16)-AVERAGE(L9:L10,L13,L15,V9:V10,V13,V15)</f>
        <v>-1.875</v>
      </c>
      <c r="G34" s="2" t="s">
        <v>23</v>
      </c>
      <c r="H34" s="10" t="s">
        <v>40</v>
      </c>
      <c r="I34" s="11">
        <f>AVERAGE(L13:L16,V13:V16)-AVERAGE(L9:L12,V9:V12)</f>
        <v>5.375</v>
      </c>
    </row>
    <row r="35" spans="1:9" x14ac:dyDescent="0.55000000000000004">
      <c r="A35" t="s">
        <v>25</v>
      </c>
      <c r="B35" t="s">
        <v>24</v>
      </c>
      <c r="C35" s="11">
        <f>AVERAGE(L10,L11,L13,L16,V10,V11,V13,V16)-AVERAGE(L9,L12,L14:L15,V9,V12,V14:V15)</f>
        <v>-1.625</v>
      </c>
      <c r="D35" t="s">
        <v>25</v>
      </c>
      <c r="E35" t="s">
        <v>38</v>
      </c>
      <c r="F35" s="12">
        <f>AVERAGE(V10,V11,V13,V16,L10,L11,L13,L16)-AVERAGE(L9,L12,L14:L15,V9,V12,V14:V15)</f>
        <v>-1.625</v>
      </c>
      <c r="G35" t="s">
        <v>25</v>
      </c>
      <c r="H35" t="s">
        <v>40</v>
      </c>
      <c r="I35" s="12">
        <f>AVERAGE(L10:L11,L13,L16,V10:V11,V13,V16)-AVERAGE(L9,L12,L14:L15,V9,V12,V14:V15)</f>
        <v>-1.625</v>
      </c>
    </row>
    <row r="36" spans="1:9" x14ac:dyDescent="0.55000000000000004">
      <c r="A36" t="s">
        <v>36</v>
      </c>
      <c r="B36" t="s">
        <v>24</v>
      </c>
      <c r="C36" s="12">
        <f>C34/2</f>
        <v>0.5625</v>
      </c>
      <c r="D36" t="s">
        <v>36</v>
      </c>
      <c r="E36" t="s">
        <v>38</v>
      </c>
      <c r="F36" s="12">
        <f>F34/2</f>
        <v>-0.9375</v>
      </c>
      <c r="G36" t="s">
        <v>36</v>
      </c>
      <c r="H36" t="s">
        <v>40</v>
      </c>
      <c r="I36" s="12">
        <f>I34/2</f>
        <v>2.6875</v>
      </c>
    </row>
    <row r="37" spans="1:9" x14ac:dyDescent="0.55000000000000004">
      <c r="A37" t="s">
        <v>37</v>
      </c>
      <c r="B37" t="s">
        <v>24</v>
      </c>
      <c r="C37" s="12">
        <f>C35/2</f>
        <v>-0.8125</v>
      </c>
      <c r="D37" t="s">
        <v>37</v>
      </c>
      <c r="E37" t="s">
        <v>39</v>
      </c>
      <c r="F37" s="12">
        <f>F35/2</f>
        <v>-0.8125</v>
      </c>
      <c r="G37" t="s">
        <v>37</v>
      </c>
      <c r="H37" t="s">
        <v>40</v>
      </c>
      <c r="I37" s="12">
        <f>I35/2</f>
        <v>-0.8125</v>
      </c>
    </row>
    <row r="39" spans="1:9" x14ac:dyDescent="0.55000000000000004">
      <c r="A39" t="s">
        <v>49</v>
      </c>
    </row>
    <row r="40" spans="1:9" x14ac:dyDescent="0.55000000000000004">
      <c r="A40" t="s">
        <v>50</v>
      </c>
    </row>
    <row r="41" spans="1:9" x14ac:dyDescent="0.55000000000000004">
      <c r="A41" t="s">
        <v>53</v>
      </c>
    </row>
    <row r="42" spans="1:9" x14ac:dyDescent="0.55000000000000004">
      <c r="A42" t="s">
        <v>51</v>
      </c>
    </row>
    <row r="43" spans="1:9" x14ac:dyDescent="0.55000000000000004">
      <c r="A43" t="s">
        <v>54</v>
      </c>
    </row>
    <row r="44" spans="1:9" x14ac:dyDescent="0.55000000000000004">
      <c r="A44" t="s">
        <v>52</v>
      </c>
    </row>
    <row r="45" spans="1:9" x14ac:dyDescent="0.55000000000000004">
      <c r="A45" t="s">
        <v>55</v>
      </c>
    </row>
  </sheetData>
  <mergeCells count="12">
    <mergeCell ref="A31:I31"/>
    <mergeCell ref="A32:C32"/>
    <mergeCell ref="D32:F32"/>
    <mergeCell ref="G32:I32"/>
    <mergeCell ref="A17:I17"/>
    <mergeCell ref="A18:C18"/>
    <mergeCell ref="D18:F18"/>
    <mergeCell ref="G18:I18"/>
    <mergeCell ref="A24:I24"/>
    <mergeCell ref="A25:C25"/>
    <mergeCell ref="D25:F25"/>
    <mergeCell ref="G25:I25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Unaltered Data</vt:lpstr>
      <vt:lpstr>Altered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Puccini</dc:creator>
  <cp:lastModifiedBy>Claire Puccini</cp:lastModifiedBy>
  <dcterms:created xsi:type="dcterms:W3CDTF">2018-04-20T18:36:58Z</dcterms:created>
  <dcterms:modified xsi:type="dcterms:W3CDTF">2018-04-22T16:40:19Z</dcterms:modified>
</cp:coreProperties>
</file>