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0TestData\"/>
    </mc:Choice>
  </mc:AlternateContent>
  <bookViews>
    <workbookView xWindow="0" yWindow="0" windowWidth="19176" windowHeight="6762" activeTab="4"/>
  </bookViews>
  <sheets>
    <sheet name="Unaltered Data" sheetId="1" r:id="rId1"/>
    <sheet name="Updated Altered Data" sheetId="3" r:id="rId2"/>
    <sheet name="Slope" sheetId="5" r:id="rId3"/>
    <sheet name="Tables for Report" sheetId="4" r:id="rId4"/>
    <sheet name="Cook Ra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6" l="1"/>
  <c r="Y15" i="6"/>
  <c r="Y14" i="6"/>
  <c r="Y13" i="6"/>
  <c r="N16" i="6"/>
  <c r="N15" i="6"/>
  <c r="N14" i="6"/>
  <c r="N13" i="6"/>
  <c r="Z9" i="6"/>
  <c r="AD9" i="6" s="1"/>
  <c r="O13" i="6"/>
  <c r="M61" i="6"/>
  <c r="F52" i="6"/>
  <c r="D52" i="6"/>
  <c r="B52" i="6"/>
  <c r="Q49" i="6" s="1"/>
  <c r="Q51" i="6"/>
  <c r="I51" i="6"/>
  <c r="F51" i="6"/>
  <c r="N51" i="6" s="1"/>
  <c r="D51" i="6"/>
  <c r="B51" i="6"/>
  <c r="Q50" i="6"/>
  <c r="N50" i="6"/>
  <c r="F50" i="6"/>
  <c r="K51" i="6" s="1"/>
  <c r="D50" i="6"/>
  <c r="K50" i="6" s="1"/>
  <c r="B50" i="6"/>
  <c r="N49" i="6"/>
  <c r="K49" i="6"/>
  <c r="F49" i="6"/>
  <c r="D49" i="6"/>
  <c r="I50" i="6" s="1"/>
  <c r="B49" i="6"/>
  <c r="I49" i="6" s="1"/>
  <c r="AU16" i="6"/>
  <c r="AT16" i="6"/>
  <c r="AR16" i="6"/>
  <c r="AS16" i="6" s="1"/>
  <c r="AQ16" i="6"/>
  <c r="AN16" i="6"/>
  <c r="AO16" i="6" s="1"/>
  <c r="AP16" i="6" s="1"/>
  <c r="AK16" i="6"/>
  <c r="AL16" i="6" s="1"/>
  <c r="AM16" i="6" s="1"/>
  <c r="Z16" i="6"/>
  <c r="AD16" i="6" s="1"/>
  <c r="O16" i="6"/>
  <c r="S16" i="6" s="1"/>
  <c r="I16" i="6"/>
  <c r="H16" i="6"/>
  <c r="G16" i="6"/>
  <c r="F16" i="6"/>
  <c r="AU15" i="6"/>
  <c r="AT15" i="6"/>
  <c r="AO15" i="6"/>
  <c r="AP15" i="6" s="1"/>
  <c r="AN15" i="6"/>
  <c r="AK15" i="6"/>
  <c r="AL15" i="6" s="1"/>
  <c r="AM15" i="6" s="1"/>
  <c r="Z15" i="6"/>
  <c r="O15" i="6"/>
  <c r="S15" i="6" s="1"/>
  <c r="I15" i="6"/>
  <c r="H15" i="6"/>
  <c r="G15" i="6"/>
  <c r="F15" i="6"/>
  <c r="AU14" i="6"/>
  <c r="AT14" i="6"/>
  <c r="AP14" i="6"/>
  <c r="AO14" i="6"/>
  <c r="AN14" i="6"/>
  <c r="AL14" i="6"/>
  <c r="AM14" i="6" s="1"/>
  <c r="AK14" i="6"/>
  <c r="Z14" i="6"/>
  <c r="AD14" i="6" s="1"/>
  <c r="O14" i="6"/>
  <c r="S14" i="6" s="1"/>
  <c r="I14" i="6"/>
  <c r="H14" i="6"/>
  <c r="G14" i="6"/>
  <c r="F14" i="6"/>
  <c r="AU13" i="6"/>
  <c r="AT13" i="6"/>
  <c r="AQ13" i="6"/>
  <c r="AR13" i="6" s="1"/>
  <c r="AS13" i="6" s="1"/>
  <c r="AN13" i="6"/>
  <c r="AO13" i="6" s="1"/>
  <c r="AP13" i="6" s="1"/>
  <c r="AM13" i="6"/>
  <c r="AL13" i="6"/>
  <c r="AK13" i="6"/>
  <c r="Z13" i="6"/>
  <c r="AD13" i="6" s="1"/>
  <c r="I13" i="6"/>
  <c r="H13" i="6"/>
  <c r="G13" i="6"/>
  <c r="F13" i="6"/>
  <c r="AU12" i="6"/>
  <c r="AT12" i="6"/>
  <c r="AR12" i="6"/>
  <c r="AS12" i="6" s="1"/>
  <c r="AQ12" i="6"/>
  <c r="AN12" i="6"/>
  <c r="AO12" i="6" s="1"/>
  <c r="AP12" i="6" s="1"/>
  <c r="AK12" i="6"/>
  <c r="AL12" i="6" s="1"/>
  <c r="AM12" i="6" s="1"/>
  <c r="Z12" i="6"/>
  <c r="AD12" i="6" s="1"/>
  <c r="S12" i="6"/>
  <c r="AE12" i="6" s="1"/>
  <c r="O12" i="6"/>
  <c r="I12" i="6"/>
  <c r="H12" i="6"/>
  <c r="G12" i="6"/>
  <c r="F12" i="6"/>
  <c r="AU11" i="6"/>
  <c r="AT11" i="6"/>
  <c r="AP11" i="6"/>
  <c r="AO11" i="6"/>
  <c r="AN11" i="6"/>
  <c r="AK11" i="6"/>
  <c r="AL11" i="6" s="1"/>
  <c r="AM11" i="6" s="1"/>
  <c r="Z11" i="6"/>
  <c r="AH11" i="6" s="1"/>
  <c r="S11" i="6"/>
  <c r="O11" i="6"/>
  <c r="I11" i="6"/>
  <c r="H11" i="6"/>
  <c r="G11" i="6"/>
  <c r="F11" i="6"/>
  <c r="AU10" i="6"/>
  <c r="AT10" i="6"/>
  <c r="AL10" i="6"/>
  <c r="AM10" i="6" s="1"/>
  <c r="AK10" i="6"/>
  <c r="AH10" i="6"/>
  <c r="AD10" i="6"/>
  <c r="AA10" i="6"/>
  <c r="AN10" i="6" s="1"/>
  <c r="AO10" i="6" s="1"/>
  <c r="AP10" i="6" s="1"/>
  <c r="Z10" i="6"/>
  <c r="S10" i="6"/>
  <c r="O10" i="6"/>
  <c r="AI10" i="6" s="1"/>
  <c r="AJ10" i="6" s="1"/>
  <c r="I10" i="6"/>
  <c r="H10" i="6"/>
  <c r="G10" i="6"/>
  <c r="F10" i="6"/>
  <c r="AU9" i="6"/>
  <c r="AT9" i="6"/>
  <c r="AS9" i="6"/>
  <c r="AR9" i="6"/>
  <c r="AQ9" i="6"/>
  <c r="AN9" i="6"/>
  <c r="AO9" i="6" s="1"/>
  <c r="AK9" i="6"/>
  <c r="AL9" i="6" s="1"/>
  <c r="S9" i="6"/>
  <c r="O9" i="6"/>
  <c r="I9" i="6"/>
  <c r="H9" i="6"/>
  <c r="G9" i="6"/>
  <c r="F9" i="6"/>
  <c r="AH9" i="5"/>
  <c r="Z10" i="5"/>
  <c r="Z11" i="5"/>
  <c r="Z12" i="5"/>
  <c r="Z13" i="5"/>
  <c r="Z14" i="5"/>
  <c r="Z15" i="5"/>
  <c r="Z16" i="5"/>
  <c r="Z9" i="5"/>
  <c r="O10" i="5"/>
  <c r="O11" i="5"/>
  <c r="O12" i="5"/>
  <c r="O13" i="5"/>
  <c r="B56" i="5" s="1"/>
  <c r="I56" i="5" s="1"/>
  <c r="O14" i="5"/>
  <c r="O15" i="5"/>
  <c r="O16" i="5"/>
  <c r="O9" i="5"/>
  <c r="AU16" i="5"/>
  <c r="AT16" i="5"/>
  <c r="AO16" i="5"/>
  <c r="AP16" i="5" s="1"/>
  <c r="AN16" i="5"/>
  <c r="AK16" i="5"/>
  <c r="AL16" i="5" s="1"/>
  <c r="AM16" i="5" s="1"/>
  <c r="I16" i="5"/>
  <c r="H16" i="5"/>
  <c r="G16" i="5"/>
  <c r="F16" i="5"/>
  <c r="AU15" i="5"/>
  <c r="AT15" i="5"/>
  <c r="AQ15" i="5" s="1"/>
  <c r="AN15" i="5"/>
  <c r="AO15" i="5" s="1"/>
  <c r="AP15" i="5" s="1"/>
  <c r="AL15" i="5"/>
  <c r="AM15" i="5" s="1"/>
  <c r="AK15" i="5"/>
  <c r="AH15" i="5"/>
  <c r="I15" i="5"/>
  <c r="H15" i="5"/>
  <c r="G15" i="5"/>
  <c r="F15" i="5"/>
  <c r="AU14" i="5"/>
  <c r="AT14" i="5"/>
  <c r="AQ14" i="5"/>
  <c r="AR14" i="5" s="1"/>
  <c r="AS14" i="5" s="1"/>
  <c r="AN14" i="5"/>
  <c r="AO14" i="5" s="1"/>
  <c r="AP14" i="5" s="1"/>
  <c r="AK14" i="5"/>
  <c r="AL14" i="5" s="1"/>
  <c r="AM14" i="5" s="1"/>
  <c r="AH14" i="5"/>
  <c r="I14" i="5"/>
  <c r="H14" i="5"/>
  <c r="G14" i="5"/>
  <c r="F14" i="5"/>
  <c r="AU13" i="5"/>
  <c r="AT13" i="5"/>
  <c r="AR13" i="5"/>
  <c r="AS13" i="5" s="1"/>
  <c r="AQ13" i="5"/>
  <c r="AN13" i="5"/>
  <c r="AO13" i="5" s="1"/>
  <c r="AP13" i="5" s="1"/>
  <c r="AK13" i="5"/>
  <c r="AL13" i="5" s="1"/>
  <c r="AM13" i="5" s="1"/>
  <c r="I13" i="5"/>
  <c r="H13" i="5"/>
  <c r="G13" i="5"/>
  <c r="F13" i="5"/>
  <c r="AU12" i="5"/>
  <c r="AT12" i="5"/>
  <c r="AO12" i="5"/>
  <c r="AP12" i="5" s="1"/>
  <c r="AN12" i="5"/>
  <c r="AK12" i="5"/>
  <c r="AL12" i="5" s="1"/>
  <c r="AM12" i="5" s="1"/>
  <c r="I12" i="5"/>
  <c r="H12" i="5"/>
  <c r="G12" i="5"/>
  <c r="F12" i="5"/>
  <c r="AU11" i="5"/>
  <c r="AT11" i="5"/>
  <c r="AP11" i="5"/>
  <c r="AO11" i="5"/>
  <c r="AN11" i="5"/>
  <c r="AL11" i="5"/>
  <c r="AM11" i="5" s="1"/>
  <c r="AK11" i="5"/>
  <c r="AH11" i="5"/>
  <c r="I11" i="5"/>
  <c r="H11" i="5"/>
  <c r="G11" i="5"/>
  <c r="F11" i="5"/>
  <c r="AU10" i="5"/>
  <c r="AT10" i="5"/>
  <c r="AQ10" i="5"/>
  <c r="AR10" i="5" s="1"/>
  <c r="AS10" i="5" s="1"/>
  <c r="AN10" i="5"/>
  <c r="AO10" i="5" s="1"/>
  <c r="AP10" i="5" s="1"/>
  <c r="AM10" i="5"/>
  <c r="AL10" i="5"/>
  <c r="AK10" i="5"/>
  <c r="AA10" i="5"/>
  <c r="I10" i="5"/>
  <c r="H10" i="5"/>
  <c r="G10" i="5"/>
  <c r="F10" i="5"/>
  <c r="AU9" i="5"/>
  <c r="AT9" i="5"/>
  <c r="AO9" i="5"/>
  <c r="AN9" i="5"/>
  <c r="AK9" i="5"/>
  <c r="AL9" i="5" s="1"/>
  <c r="I9" i="5"/>
  <c r="H9" i="5"/>
  <c r="G9" i="5"/>
  <c r="F9" i="5"/>
  <c r="O9" i="3"/>
  <c r="B56" i="3" s="1"/>
  <c r="D56" i="3"/>
  <c r="F56" i="3"/>
  <c r="AU10" i="3"/>
  <c r="AQ10" i="3" s="1"/>
  <c r="AU11" i="3"/>
  <c r="AQ11" i="3" s="1"/>
  <c r="AR11" i="3" s="1"/>
  <c r="AS11" i="3" s="1"/>
  <c r="AU12" i="3"/>
  <c r="AU13" i="3"/>
  <c r="AQ13" i="3" s="1"/>
  <c r="AU14" i="3"/>
  <c r="AU15" i="3"/>
  <c r="AQ15" i="3" s="1"/>
  <c r="AR15" i="3" s="1"/>
  <c r="AS15" i="3" s="1"/>
  <c r="AU16" i="3"/>
  <c r="AT10" i="3"/>
  <c r="AT11" i="3"/>
  <c r="AT12" i="3"/>
  <c r="AQ12" i="3" s="1"/>
  <c r="AT13" i="3"/>
  <c r="AT14" i="3"/>
  <c r="AT15" i="3"/>
  <c r="AT16" i="3"/>
  <c r="AQ16" i="3" s="1"/>
  <c r="AU9" i="3"/>
  <c r="AT9" i="3"/>
  <c r="AH14" i="6" l="1"/>
  <c r="AO17" i="6"/>
  <c r="AO18" i="6" s="1"/>
  <c r="AO19" i="6" s="1"/>
  <c r="AO20" i="6" s="1"/>
  <c r="AP9" i="6"/>
  <c r="AF10" i="6"/>
  <c r="AG10" i="6" s="1"/>
  <c r="AE10" i="6"/>
  <c r="AI12" i="6"/>
  <c r="AJ12" i="6" s="1"/>
  <c r="D58" i="6"/>
  <c r="N57" i="6" s="1"/>
  <c r="AH13" i="6"/>
  <c r="AI13" i="6" s="1"/>
  <c r="AJ13" i="6" s="1"/>
  <c r="S13" i="6"/>
  <c r="B56" i="6"/>
  <c r="I56" i="6" s="1"/>
  <c r="F58" i="6"/>
  <c r="N58" i="6" s="1"/>
  <c r="AE9" i="6"/>
  <c r="AF9" i="6" s="1"/>
  <c r="B58" i="6"/>
  <c r="N56" i="6" s="1"/>
  <c r="AQ11" i="6"/>
  <c r="AR11" i="6" s="1"/>
  <c r="AS11" i="6" s="1"/>
  <c r="AE16" i="6"/>
  <c r="AF16" i="6" s="1"/>
  <c r="AG16" i="6" s="1"/>
  <c r="AE14" i="6"/>
  <c r="AF14" i="6" s="1"/>
  <c r="AG14" i="6" s="1"/>
  <c r="F59" i="6"/>
  <c r="Q58" i="6" s="1"/>
  <c r="AD11" i="6"/>
  <c r="AQ14" i="6"/>
  <c r="AR14" i="6" s="1"/>
  <c r="AS14" i="6" s="1"/>
  <c r="AH15" i="6"/>
  <c r="AI15" i="6" s="1"/>
  <c r="AJ15" i="6" s="1"/>
  <c r="AD15" i="6"/>
  <c r="AE15" i="6" s="1"/>
  <c r="AF15" i="6" s="1"/>
  <c r="AG15" i="6" s="1"/>
  <c r="AM9" i="6"/>
  <c r="AL17" i="6"/>
  <c r="AL18" i="6" s="1"/>
  <c r="AL19" i="6" s="1"/>
  <c r="AL20" i="6" s="1"/>
  <c r="B57" i="6"/>
  <c r="K56" i="6" s="1"/>
  <c r="AQ10" i="6"/>
  <c r="AR10" i="6" s="1"/>
  <c r="AF12" i="6"/>
  <c r="AG12" i="6" s="1"/>
  <c r="D57" i="6"/>
  <c r="K57" i="6" s="1"/>
  <c r="AI14" i="6"/>
  <c r="AJ14" i="6" s="1"/>
  <c r="D56" i="6"/>
  <c r="I57" i="6" s="1"/>
  <c r="F57" i="6"/>
  <c r="K58" i="6" s="1"/>
  <c r="B59" i="6"/>
  <c r="Q56" i="6" s="1"/>
  <c r="AH9" i="6"/>
  <c r="AI9" i="6" s="1"/>
  <c r="AI11" i="6"/>
  <c r="AJ11" i="6" s="1"/>
  <c r="AH12" i="6"/>
  <c r="AQ15" i="6"/>
  <c r="AR15" i="6" s="1"/>
  <c r="AS15" i="6" s="1"/>
  <c r="AH16" i="6"/>
  <c r="AI16" i="6" s="1"/>
  <c r="AJ16" i="6" s="1"/>
  <c r="F56" i="6"/>
  <c r="I58" i="6" s="1"/>
  <c r="D59" i="6"/>
  <c r="Q57" i="6" s="1"/>
  <c r="AR16" i="3"/>
  <c r="AS16" i="3" s="1"/>
  <c r="AQ14" i="3"/>
  <c r="AR14" i="3" s="1"/>
  <c r="AS14" i="3" s="1"/>
  <c r="AR13" i="3"/>
  <c r="AS13" i="3" s="1"/>
  <c r="AR12" i="3"/>
  <c r="AS12" i="3" s="1"/>
  <c r="AR10" i="3"/>
  <c r="AS10" i="3" s="1"/>
  <c r="AQ9" i="3"/>
  <c r="AR9" i="3" s="1"/>
  <c r="AH12" i="5"/>
  <c r="AI12" i="5" s="1"/>
  <c r="AJ12" i="5" s="1"/>
  <c r="F58" i="5"/>
  <c r="N58" i="5" s="1"/>
  <c r="AP9" i="5"/>
  <c r="AO17" i="5"/>
  <c r="AO18" i="5" s="1"/>
  <c r="AO19" i="5" s="1"/>
  <c r="AO20" i="5" s="1"/>
  <c r="D57" i="5"/>
  <c r="K57" i="5" s="1"/>
  <c r="AM9" i="5"/>
  <c r="AL17" i="5"/>
  <c r="AL18" i="5" s="1"/>
  <c r="AL19" i="5" s="1"/>
  <c r="AL20" i="5" s="1"/>
  <c r="AQ11" i="5"/>
  <c r="AR11" i="5" s="1"/>
  <c r="AS11" i="5" s="1"/>
  <c r="B59" i="5"/>
  <c r="Q56" i="5" s="1"/>
  <c r="B58" i="5"/>
  <c r="N56" i="5" s="1"/>
  <c r="AI14" i="5"/>
  <c r="AJ14" i="5" s="1"/>
  <c r="AI15" i="5"/>
  <c r="AJ15" i="5" s="1"/>
  <c r="AH16" i="5"/>
  <c r="D59" i="5"/>
  <c r="Q57" i="5" s="1"/>
  <c r="AI9" i="5"/>
  <c r="AQ9" i="5"/>
  <c r="AR9" i="5" s="1"/>
  <c r="AQ12" i="5"/>
  <c r="AR12" i="5" s="1"/>
  <c r="AS12" i="5" s="1"/>
  <c r="AH13" i="5"/>
  <c r="AR15" i="5"/>
  <c r="AS15" i="5" s="1"/>
  <c r="AI16" i="5"/>
  <c r="AJ16" i="5" s="1"/>
  <c r="AQ16" i="5"/>
  <c r="AR16" i="5" s="1"/>
  <c r="AS16" i="5" s="1"/>
  <c r="B57" i="5"/>
  <c r="K56" i="5" s="1"/>
  <c r="D58" i="5"/>
  <c r="N57" i="5" s="1"/>
  <c r="F59" i="5"/>
  <c r="Q58" i="5" s="1"/>
  <c r="D56" i="5"/>
  <c r="I57" i="5" s="1"/>
  <c r="F57" i="5"/>
  <c r="K58" i="5" s="1"/>
  <c r="AI11" i="5"/>
  <c r="AJ11" i="5" s="1"/>
  <c r="F56" i="5"/>
  <c r="I58" i="5" s="1"/>
  <c r="AH10" i="5"/>
  <c r="AI10" i="5" s="1"/>
  <c r="AJ10" i="5" s="1"/>
  <c r="AI13" i="5"/>
  <c r="AJ13" i="5" s="1"/>
  <c r="M61" i="3"/>
  <c r="B44" i="6" l="1"/>
  <c r="N42" i="6" s="1"/>
  <c r="AS10" i="6"/>
  <c r="AR17" i="6"/>
  <c r="AR18" i="6" s="1"/>
  <c r="AR19" i="6" s="1"/>
  <c r="AR20" i="6" s="1"/>
  <c r="AI17" i="6"/>
  <c r="AI18" i="6" s="1"/>
  <c r="AI19" i="6" s="1"/>
  <c r="AI20" i="6" s="1"/>
  <c r="AJ9" i="6"/>
  <c r="AE11" i="6"/>
  <c r="D43" i="6"/>
  <c r="K43" i="6" s="1"/>
  <c r="D42" i="6"/>
  <c r="I43" i="6" s="1"/>
  <c r="AG9" i="6"/>
  <c r="B43" i="6"/>
  <c r="K42" i="6" s="1"/>
  <c r="F43" i="6"/>
  <c r="K44" i="6" s="1"/>
  <c r="B42" i="6"/>
  <c r="I42" i="6" s="1"/>
  <c r="D44" i="6"/>
  <c r="N43" i="6" s="1"/>
  <c r="AE13" i="6"/>
  <c r="B45" i="6" s="1"/>
  <c r="Q42" i="6" s="1"/>
  <c r="F44" i="6"/>
  <c r="N44" i="6" s="1"/>
  <c r="F42" i="6"/>
  <c r="I44" i="6" s="1"/>
  <c r="AR17" i="3"/>
  <c r="AS9" i="3"/>
  <c r="AR17" i="5"/>
  <c r="AR18" i="5" s="1"/>
  <c r="AR19" i="5" s="1"/>
  <c r="AR20" i="5" s="1"/>
  <c r="AS9" i="5"/>
  <c r="AJ9" i="5"/>
  <c r="AI17" i="5"/>
  <c r="AI18" i="5" s="1"/>
  <c r="AI19" i="5" s="1"/>
  <c r="AI20" i="5" s="1"/>
  <c r="AS14" i="4"/>
  <c r="BD13" i="4" s="1"/>
  <c r="AQ14" i="4"/>
  <c r="BD12" i="4" s="1"/>
  <c r="AO14" i="4"/>
  <c r="BD11" i="4" s="1"/>
  <c r="BA13" i="4"/>
  <c r="AS13" i="4"/>
  <c r="AQ13" i="4"/>
  <c r="BA12" i="4" s="1"/>
  <c r="AO13" i="4"/>
  <c r="BA11" i="4" s="1"/>
  <c r="AS12" i="4"/>
  <c r="AX13" i="4" s="1"/>
  <c r="AQ12" i="4"/>
  <c r="AX12" i="4" s="1"/>
  <c r="AO12" i="4"/>
  <c r="AX11" i="4" s="1"/>
  <c r="AS11" i="4"/>
  <c r="AV13" i="4" s="1"/>
  <c r="AQ11" i="4"/>
  <c r="AV12" i="4" s="1"/>
  <c r="AO11" i="4"/>
  <c r="AV11" i="4" s="1"/>
  <c r="AJ16" i="4"/>
  <c r="AK16" i="4" s="1"/>
  <c r="AL16" i="4" s="1"/>
  <c r="AG16" i="4"/>
  <c r="AH16" i="4" s="1"/>
  <c r="AI16" i="4" s="1"/>
  <c r="V16" i="4"/>
  <c r="M16" i="4"/>
  <c r="Q16" i="4" s="1"/>
  <c r="H16" i="4"/>
  <c r="G16" i="4"/>
  <c r="F16" i="4"/>
  <c r="AJ15" i="4"/>
  <c r="AK15" i="4" s="1"/>
  <c r="AL15" i="4" s="1"/>
  <c r="AG15" i="4"/>
  <c r="AH15" i="4" s="1"/>
  <c r="AI15" i="4" s="1"/>
  <c r="V15" i="4"/>
  <c r="M15" i="4"/>
  <c r="Q15" i="4" s="1"/>
  <c r="H15" i="4"/>
  <c r="G15" i="4"/>
  <c r="F15" i="4"/>
  <c r="AJ14" i="4"/>
  <c r="AK14" i="4" s="1"/>
  <c r="AL14" i="4" s="1"/>
  <c r="AG14" i="4"/>
  <c r="AH14" i="4" s="1"/>
  <c r="AI14" i="4" s="1"/>
  <c r="V14" i="4"/>
  <c r="M14" i="4"/>
  <c r="Q14" i="4" s="1"/>
  <c r="H14" i="4"/>
  <c r="G14" i="4"/>
  <c r="F14" i="4"/>
  <c r="AJ13" i="4"/>
  <c r="AK13" i="4" s="1"/>
  <c r="AL13" i="4" s="1"/>
  <c r="AG13" i="4"/>
  <c r="AH13" i="4" s="1"/>
  <c r="AI13" i="4" s="1"/>
  <c r="V13" i="4"/>
  <c r="M13" i="4"/>
  <c r="Q13" i="4" s="1"/>
  <c r="H13" i="4"/>
  <c r="G13" i="4"/>
  <c r="F13" i="4"/>
  <c r="AJ12" i="4"/>
  <c r="AK12" i="4" s="1"/>
  <c r="AL12" i="4" s="1"/>
  <c r="AG12" i="4"/>
  <c r="AH12" i="4" s="1"/>
  <c r="AI12" i="4" s="1"/>
  <c r="V12" i="4"/>
  <c r="M12" i="4"/>
  <c r="Q12" i="4" s="1"/>
  <c r="H12" i="4"/>
  <c r="G12" i="4"/>
  <c r="F12" i="4"/>
  <c r="AJ11" i="4"/>
  <c r="AK11" i="4" s="1"/>
  <c r="AL11" i="4" s="1"/>
  <c r="AG11" i="4"/>
  <c r="AH11" i="4" s="1"/>
  <c r="AI11" i="4" s="1"/>
  <c r="V11" i="4"/>
  <c r="M11" i="4"/>
  <c r="Q11" i="4" s="1"/>
  <c r="H11" i="4"/>
  <c r="G11" i="4"/>
  <c r="F11" i="4"/>
  <c r="AG10" i="4"/>
  <c r="AH10" i="4" s="1"/>
  <c r="AI10" i="4" s="1"/>
  <c r="W10" i="4"/>
  <c r="AJ10" i="4" s="1"/>
  <c r="AK10" i="4" s="1"/>
  <c r="AL10" i="4" s="1"/>
  <c r="V10" i="4"/>
  <c r="Z10" i="4" s="1"/>
  <c r="M10" i="4"/>
  <c r="H10" i="4"/>
  <c r="G10" i="4"/>
  <c r="F10" i="4"/>
  <c r="AJ9" i="4"/>
  <c r="AK9" i="4" s="1"/>
  <c r="AL9" i="4" s="1"/>
  <c r="AG9" i="4"/>
  <c r="AH9" i="4" s="1"/>
  <c r="AI9" i="4" s="1"/>
  <c r="V9" i="4"/>
  <c r="Z9" i="4" s="1"/>
  <c r="M9" i="4"/>
  <c r="H9" i="4"/>
  <c r="G9" i="4"/>
  <c r="F9" i="4"/>
  <c r="AF13" i="6" l="1"/>
  <c r="AG13" i="6" s="1"/>
  <c r="F45" i="6"/>
  <c r="Q44" i="6" s="1"/>
  <c r="AF11" i="6"/>
  <c r="D45" i="6"/>
  <c r="Q43" i="6" s="1"/>
  <c r="AR18" i="3"/>
  <c r="AR19" i="3" s="1"/>
  <c r="AR20" i="3" s="1"/>
  <c r="AD10" i="4"/>
  <c r="AE10" i="4" s="1"/>
  <c r="AF10" i="4" s="1"/>
  <c r="AD9" i="4"/>
  <c r="AE9" i="4" s="1"/>
  <c r="AS18" i="4"/>
  <c r="AV20" i="4" s="1"/>
  <c r="AL17" i="4"/>
  <c r="AL18" i="4" s="1"/>
  <c r="AL19" i="4" s="1"/>
  <c r="AL20" i="4" s="1"/>
  <c r="AS19" i="4"/>
  <c r="AX20" i="4" s="1"/>
  <c r="AQ20" i="4"/>
  <c r="BA19" i="4" s="1"/>
  <c r="AD13" i="4"/>
  <c r="AE13" i="4" s="1"/>
  <c r="AF13" i="4" s="1"/>
  <c r="Z13" i="4"/>
  <c r="AA13" i="4" s="1"/>
  <c r="AB13" i="4" s="1"/>
  <c r="AC13" i="4" s="1"/>
  <c r="AD11" i="4"/>
  <c r="AQ21" i="4"/>
  <c r="BD19" i="4" s="1"/>
  <c r="Z11" i="4"/>
  <c r="AS20" i="4"/>
  <c r="BA20" i="4" s="1"/>
  <c r="AD15" i="4"/>
  <c r="AE15" i="4" s="1"/>
  <c r="AF15" i="4" s="1"/>
  <c r="Z15" i="4"/>
  <c r="AH17" i="4"/>
  <c r="AH18" i="4" s="1"/>
  <c r="AH19" i="4" s="1"/>
  <c r="AH20" i="4" s="1"/>
  <c r="AD14" i="4"/>
  <c r="AE14" i="4" s="1"/>
  <c r="AF14" i="4" s="1"/>
  <c r="Z14" i="4"/>
  <c r="AO21" i="4"/>
  <c r="BD18" i="4" s="1"/>
  <c r="Z12" i="4"/>
  <c r="AA12" i="4" s="1"/>
  <c r="AB12" i="4" s="1"/>
  <c r="AC12" i="4" s="1"/>
  <c r="AD12" i="4"/>
  <c r="AE12" i="4" s="1"/>
  <c r="AF12" i="4" s="1"/>
  <c r="AD16" i="4"/>
  <c r="AE16" i="4" s="1"/>
  <c r="AF16" i="4" s="1"/>
  <c r="Z16" i="4"/>
  <c r="AA16" i="4" s="1"/>
  <c r="AB16" i="4" s="1"/>
  <c r="AC16" i="4" s="1"/>
  <c r="AO20" i="4"/>
  <c r="BA18" i="4" s="1"/>
  <c r="AO19" i="4"/>
  <c r="AX18" i="4" s="1"/>
  <c r="AS21" i="4"/>
  <c r="BD20" i="4" s="1"/>
  <c r="Q9" i="4"/>
  <c r="Q10" i="4"/>
  <c r="AE11" i="4"/>
  <c r="AF11" i="4" s="1"/>
  <c r="AA15" i="4"/>
  <c r="AB15" i="4" s="1"/>
  <c r="AC15" i="4" s="1"/>
  <c r="AO18" i="4"/>
  <c r="AV18" i="4" s="1"/>
  <c r="AQ19" i="4"/>
  <c r="AX19" i="4" s="1"/>
  <c r="AQ18" i="4"/>
  <c r="AV19" i="4" s="1"/>
  <c r="AD10" i="3"/>
  <c r="AD12" i="3"/>
  <c r="AE16" i="3"/>
  <c r="AE10" i="3"/>
  <c r="AE11" i="3"/>
  <c r="AE12" i="3"/>
  <c r="AE13" i="3"/>
  <c r="AE14" i="3"/>
  <c r="AE15" i="3"/>
  <c r="AG11" i="6" l="1"/>
  <c r="AF17" i="6"/>
  <c r="AF18" i="6" s="1"/>
  <c r="AF19" i="6" s="1"/>
  <c r="AF20" i="6" s="1"/>
  <c r="AA9" i="4"/>
  <c r="AB9" i="4" s="1"/>
  <c r="AQ6" i="4"/>
  <c r="BA5" i="4" s="1"/>
  <c r="AS5" i="4"/>
  <c r="AX6" i="4" s="1"/>
  <c r="AS6" i="4"/>
  <c r="BA6" i="4" s="1"/>
  <c r="AE17" i="4"/>
  <c r="AE18" i="4" s="1"/>
  <c r="AE19" i="4" s="1"/>
  <c r="AE20" i="4" s="1"/>
  <c r="AF9" i="4"/>
  <c r="AO6" i="4"/>
  <c r="BA4" i="4" s="1"/>
  <c r="AA11" i="4"/>
  <c r="AB11" i="4" s="1"/>
  <c r="AC11" i="4" s="1"/>
  <c r="AQ5" i="4"/>
  <c r="AX5" i="4" s="1"/>
  <c r="AA10" i="4"/>
  <c r="AB10" i="4" s="1"/>
  <c r="AC10" i="4" s="1"/>
  <c r="AO5" i="4"/>
  <c r="AX4" i="4" s="1"/>
  <c r="AA14" i="4"/>
  <c r="AB14" i="4" s="1"/>
  <c r="AC14" i="4" s="1"/>
  <c r="AQ4" i="4"/>
  <c r="AV5" i="4" s="1"/>
  <c r="AO4" i="4"/>
  <c r="AV4" i="4" s="1"/>
  <c r="AS4" i="4"/>
  <c r="AV6" i="4" s="1"/>
  <c r="AN11" i="3"/>
  <c r="AO11" i="3" s="1"/>
  <c r="AP11" i="3" s="1"/>
  <c r="AN12" i="3"/>
  <c r="AO12" i="3" s="1"/>
  <c r="AP12" i="3" s="1"/>
  <c r="AN13" i="3"/>
  <c r="AO13" i="3" s="1"/>
  <c r="AP13" i="3" s="1"/>
  <c r="AN14" i="3"/>
  <c r="AO14" i="3" s="1"/>
  <c r="AP14" i="3" s="1"/>
  <c r="AN15" i="3"/>
  <c r="AO15" i="3" s="1"/>
  <c r="AP15" i="3" s="1"/>
  <c r="AN16" i="3"/>
  <c r="AO16" i="3" s="1"/>
  <c r="AP16" i="3" s="1"/>
  <c r="AN9" i="3"/>
  <c r="AO9" i="3" s="1"/>
  <c r="F52" i="3"/>
  <c r="Q51" i="3" s="1"/>
  <c r="D52" i="3"/>
  <c r="Q50" i="3" s="1"/>
  <c r="B52" i="3"/>
  <c r="Q49" i="3" s="1"/>
  <c r="F51" i="3"/>
  <c r="N51" i="3" s="1"/>
  <c r="D51" i="3"/>
  <c r="N50" i="3" s="1"/>
  <c r="B51" i="3"/>
  <c r="N49" i="3" s="1"/>
  <c r="F50" i="3"/>
  <c r="K51" i="3" s="1"/>
  <c r="D50" i="3"/>
  <c r="K50" i="3" s="1"/>
  <c r="B50" i="3"/>
  <c r="K49" i="3" s="1"/>
  <c r="F49" i="3"/>
  <c r="I51" i="3" s="1"/>
  <c r="D49" i="3"/>
  <c r="I50" i="3" s="1"/>
  <c r="B49" i="3"/>
  <c r="I49" i="3" s="1"/>
  <c r="AK16" i="3"/>
  <c r="AL16" i="3" s="1"/>
  <c r="AM16" i="3" s="1"/>
  <c r="Z16" i="3"/>
  <c r="AD16" i="3" s="1"/>
  <c r="O16" i="3"/>
  <c r="S16" i="3" s="1"/>
  <c r="I16" i="3"/>
  <c r="H16" i="3"/>
  <c r="G16" i="3"/>
  <c r="F16" i="3"/>
  <c r="AK15" i="3"/>
  <c r="AL15" i="3" s="1"/>
  <c r="AM15" i="3" s="1"/>
  <c r="Z15" i="3"/>
  <c r="AD15" i="3" s="1"/>
  <c r="O15" i="3"/>
  <c r="S15" i="3" s="1"/>
  <c r="I15" i="3"/>
  <c r="H15" i="3"/>
  <c r="G15" i="3"/>
  <c r="F15" i="3"/>
  <c r="AK14" i="3"/>
  <c r="AL14" i="3" s="1"/>
  <c r="AM14" i="3" s="1"/>
  <c r="Z14" i="3"/>
  <c r="AD14" i="3" s="1"/>
  <c r="O14" i="3"/>
  <c r="S14" i="3" s="1"/>
  <c r="I14" i="3"/>
  <c r="H14" i="3"/>
  <c r="G14" i="3"/>
  <c r="F14" i="3"/>
  <c r="AK13" i="3"/>
  <c r="AL13" i="3" s="1"/>
  <c r="AM13" i="3" s="1"/>
  <c r="Z13" i="3"/>
  <c r="AD13" i="3" s="1"/>
  <c r="O13" i="3"/>
  <c r="S13" i="3" s="1"/>
  <c r="I13" i="3"/>
  <c r="H13" i="3"/>
  <c r="G13" i="3"/>
  <c r="F13" i="3"/>
  <c r="AK12" i="3"/>
  <c r="AL12" i="3" s="1"/>
  <c r="AM12" i="3" s="1"/>
  <c r="Z12" i="3"/>
  <c r="O12" i="3"/>
  <c r="S12" i="3" s="1"/>
  <c r="I12" i="3"/>
  <c r="H12" i="3"/>
  <c r="G12" i="3"/>
  <c r="F12" i="3"/>
  <c r="AK11" i="3"/>
  <c r="AL11" i="3" s="1"/>
  <c r="AM11" i="3" s="1"/>
  <c r="Z11" i="3"/>
  <c r="AD11" i="3" s="1"/>
  <c r="O11" i="3"/>
  <c r="S11" i="3" s="1"/>
  <c r="I11" i="3"/>
  <c r="H11" i="3"/>
  <c r="G11" i="3"/>
  <c r="F11" i="3"/>
  <c r="AK10" i="3"/>
  <c r="AL10" i="3" s="1"/>
  <c r="AM10" i="3" s="1"/>
  <c r="AA10" i="3"/>
  <c r="AN10" i="3" s="1"/>
  <c r="AO10" i="3" s="1"/>
  <c r="AP10" i="3" s="1"/>
  <c r="Z10" i="3"/>
  <c r="O10" i="3"/>
  <c r="S10" i="3" s="1"/>
  <c r="I10" i="3"/>
  <c r="H10" i="3"/>
  <c r="G10" i="3"/>
  <c r="F10" i="3"/>
  <c r="AK9" i="3"/>
  <c r="AL9" i="3" s="1"/>
  <c r="Z9" i="3"/>
  <c r="AD9" i="3" s="1"/>
  <c r="S9" i="3"/>
  <c r="I9" i="3"/>
  <c r="H9" i="3"/>
  <c r="G9" i="3"/>
  <c r="F9" i="3"/>
  <c r="AE9" i="3" l="1"/>
  <c r="AF9" i="3" s="1"/>
  <c r="AP9" i="3"/>
  <c r="AO17" i="3"/>
  <c r="AO18" i="3" s="1"/>
  <c r="AO19" i="3" s="1"/>
  <c r="AO20" i="3" s="1"/>
  <c r="AS7" i="4"/>
  <c r="BD6" i="4" s="1"/>
  <c r="AQ7" i="4"/>
  <c r="BD5" i="4" s="1"/>
  <c r="AO7" i="4"/>
  <c r="BD4" i="4" s="1"/>
  <c r="AF15" i="3"/>
  <c r="AG15" i="3" s="1"/>
  <c r="AF14" i="3"/>
  <c r="AG14" i="3" s="1"/>
  <c r="B59" i="3"/>
  <c r="Q56" i="3" s="1"/>
  <c r="AL17" i="3"/>
  <c r="AL18" i="3" s="1"/>
  <c r="AL19" i="3" s="1"/>
  <c r="AL20" i="3" s="1"/>
  <c r="F57" i="3"/>
  <c r="K58" i="3" s="1"/>
  <c r="AH11" i="3"/>
  <c r="AI11" i="3" s="1"/>
  <c r="AJ11" i="3" s="1"/>
  <c r="AH9" i="3"/>
  <c r="AI9" i="3" s="1"/>
  <c r="F43" i="3"/>
  <c r="K44" i="3" s="1"/>
  <c r="AH12" i="3"/>
  <c r="AI12" i="3" s="1"/>
  <c r="AJ12" i="3" s="1"/>
  <c r="AH16" i="3"/>
  <c r="AI16" i="3" s="1"/>
  <c r="AJ16" i="3" s="1"/>
  <c r="AF16" i="3"/>
  <c r="AG16" i="3" s="1"/>
  <c r="AM9" i="3"/>
  <c r="AF10" i="3"/>
  <c r="B44" i="3"/>
  <c r="N42" i="3" s="1"/>
  <c r="B58" i="3"/>
  <c r="N56" i="3" s="1"/>
  <c r="D44" i="3"/>
  <c r="N43" i="3" s="1"/>
  <c r="B57" i="3"/>
  <c r="K56" i="3" s="1"/>
  <c r="D58" i="3"/>
  <c r="N57" i="3" s="1"/>
  <c r="F59" i="3"/>
  <c r="Q58" i="3" s="1"/>
  <c r="AF11" i="3"/>
  <c r="AG11" i="3" s="1"/>
  <c r="AF12" i="3"/>
  <c r="AG12" i="3" s="1"/>
  <c r="AH13" i="3"/>
  <c r="AI13" i="3" s="1"/>
  <c r="AJ13" i="3" s="1"/>
  <c r="AH14" i="3"/>
  <c r="AI14" i="3" s="1"/>
  <c r="AJ14" i="3" s="1"/>
  <c r="AH15" i="3"/>
  <c r="AI15" i="3" s="1"/>
  <c r="AJ15" i="3" s="1"/>
  <c r="B42" i="3"/>
  <c r="I42" i="3" s="1"/>
  <c r="D43" i="3"/>
  <c r="K43" i="3" s="1"/>
  <c r="F44" i="3"/>
  <c r="N44" i="3" s="1"/>
  <c r="I56" i="3"/>
  <c r="D57" i="3"/>
  <c r="K57" i="3" s="1"/>
  <c r="F58" i="3"/>
  <c r="N58" i="3" s="1"/>
  <c r="F42" i="3"/>
  <c r="I44" i="3" s="1"/>
  <c r="I58" i="3"/>
  <c r="D59" i="3"/>
  <c r="Q57" i="3" s="1"/>
  <c r="B43" i="3"/>
  <c r="K42" i="3" s="1"/>
  <c r="AH10" i="3"/>
  <c r="AI10" i="3" s="1"/>
  <c r="AJ10" i="3" s="1"/>
  <c r="AF13" i="3"/>
  <c r="AG13" i="3" s="1"/>
  <c r="D42" i="3"/>
  <c r="I43" i="3" s="1"/>
  <c r="I57" i="3"/>
  <c r="B45" i="3" l="1"/>
  <c r="AC9" i="4"/>
  <c r="AB17" i="4"/>
  <c r="AB18" i="4" s="1"/>
  <c r="AB19" i="4" s="1"/>
  <c r="AB20" i="4" s="1"/>
  <c r="AG10" i="3"/>
  <c r="AF17" i="3"/>
  <c r="AF18" i="3" s="1"/>
  <c r="AF19" i="3" s="1"/>
  <c r="AI17" i="3"/>
  <c r="AI18" i="3" s="1"/>
  <c r="AI19" i="3" s="1"/>
  <c r="AI20" i="3" s="1"/>
  <c r="Q42" i="3"/>
  <c r="AG9" i="3"/>
  <c r="AJ9" i="3"/>
  <c r="D45" i="3"/>
  <c r="Q43" i="3" s="1"/>
  <c r="F45" i="3"/>
  <c r="Q44" i="3" s="1"/>
  <c r="AF20" i="3" l="1"/>
  <c r="AD18" i="1"/>
  <c r="Q51" i="1" l="1"/>
  <c r="Q50" i="1"/>
  <c r="Q49" i="1"/>
  <c r="N44" i="1"/>
  <c r="N42" i="1"/>
  <c r="K43" i="1"/>
  <c r="K42" i="1"/>
  <c r="I50" i="1"/>
  <c r="F51" i="1"/>
  <c r="N51" i="1" s="1"/>
  <c r="F50" i="1"/>
  <c r="K51" i="1" s="1"/>
  <c r="D50" i="1"/>
  <c r="K50" i="1" s="1"/>
  <c r="D51" i="1"/>
  <c r="N50" i="1" s="1"/>
  <c r="B51" i="1"/>
  <c r="N49" i="1" s="1"/>
  <c r="B50" i="1"/>
  <c r="K49" i="1" s="1"/>
  <c r="F44" i="1"/>
  <c r="B44" i="1"/>
  <c r="F43" i="1"/>
  <c r="K44" i="1" s="1"/>
  <c r="D44" i="1"/>
  <c r="N43" i="1" s="1"/>
  <c r="D43" i="1"/>
  <c r="B43" i="1"/>
  <c r="F52" i="1"/>
  <c r="D52" i="1"/>
  <c r="B52" i="1"/>
  <c r="F49" i="1"/>
  <c r="I51" i="1" s="1"/>
  <c r="D49" i="1"/>
  <c r="B49" i="1"/>
  <c r="I49" i="1" s="1"/>
  <c r="F42" i="1"/>
  <c r="I44" i="1" s="1"/>
  <c r="D42" i="1"/>
  <c r="I43" i="1" s="1"/>
  <c r="B42" i="1"/>
  <c r="I42" i="1" s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H9" i="1"/>
  <c r="G9" i="1"/>
  <c r="F9" i="1"/>
  <c r="I28" i="1" l="1"/>
  <c r="I30" i="1" s="1"/>
  <c r="F28" i="1"/>
  <c r="F30" i="1" s="1"/>
  <c r="C28" i="1"/>
  <c r="C30" i="1" s="1"/>
  <c r="F27" i="1"/>
  <c r="F29" i="1" s="1"/>
  <c r="C27" i="1"/>
  <c r="C29" i="1" s="1"/>
  <c r="I27" i="1"/>
  <c r="I29" i="1" s="1"/>
  <c r="AB15" i="1" l="1"/>
  <c r="AB16" i="1"/>
  <c r="AB14" i="1"/>
  <c r="AB13" i="1"/>
  <c r="I26" i="1"/>
  <c r="F26" i="1"/>
  <c r="C26" i="1"/>
  <c r="Y10" i="1"/>
  <c r="Y11" i="1"/>
  <c r="Y12" i="1"/>
  <c r="Y13" i="1"/>
  <c r="Y14" i="1"/>
  <c r="Y15" i="1"/>
  <c r="Y16" i="1"/>
  <c r="Y9" i="1"/>
  <c r="AB9" i="1"/>
  <c r="AB10" i="1"/>
  <c r="Z10" i="1"/>
  <c r="O9" i="1"/>
  <c r="AF9" i="1" l="1"/>
  <c r="AG9" i="1" s="1"/>
  <c r="O10" i="1"/>
  <c r="O11" i="1"/>
  <c r="O12" i="1"/>
  <c r="O13" i="1"/>
  <c r="O14" i="1"/>
  <c r="O15" i="1"/>
  <c r="O16" i="1"/>
  <c r="AB12" i="1"/>
  <c r="AB11" i="1"/>
  <c r="R10" i="1"/>
  <c r="R9" i="1"/>
  <c r="R12" i="1"/>
  <c r="F57" i="1" l="1"/>
  <c r="K58" i="1" s="1"/>
  <c r="B58" i="1"/>
  <c r="N56" i="1" s="1"/>
  <c r="B59" i="1"/>
  <c r="Q56" i="1" s="1"/>
  <c r="D57" i="1"/>
  <c r="K57" i="1" s="1"/>
  <c r="B57" i="1"/>
  <c r="K56" i="1" s="1"/>
  <c r="F56" i="1"/>
  <c r="I58" i="1" s="1"/>
  <c r="F58" i="1"/>
  <c r="N58" i="1" s="1"/>
  <c r="F59" i="1"/>
  <c r="Q58" i="1" s="1"/>
  <c r="D56" i="1"/>
  <c r="I57" i="1" s="1"/>
  <c r="D58" i="1"/>
  <c r="N57" i="1" s="1"/>
  <c r="D59" i="1"/>
  <c r="Q57" i="1" s="1"/>
  <c r="B56" i="1"/>
  <c r="I56" i="1" s="1"/>
  <c r="AF15" i="1"/>
  <c r="AG15" i="1" s="1"/>
  <c r="AH15" i="1" s="1"/>
  <c r="AF10" i="1"/>
  <c r="AG10" i="1" s="1"/>
  <c r="AH10" i="1" s="1"/>
  <c r="I34" i="1"/>
  <c r="I36" i="1" s="1"/>
  <c r="AF13" i="1"/>
  <c r="AG13" i="1" s="1"/>
  <c r="AH13" i="1" s="1"/>
  <c r="AF11" i="1"/>
  <c r="AG11" i="1" s="1"/>
  <c r="AH11" i="1" s="1"/>
  <c r="AF14" i="1"/>
  <c r="AG14" i="1" s="1"/>
  <c r="AH14" i="1" s="1"/>
  <c r="AF16" i="1"/>
  <c r="AG16" i="1" s="1"/>
  <c r="AH16" i="1" s="1"/>
  <c r="AF12" i="1"/>
  <c r="AG12" i="1" s="1"/>
  <c r="AH1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R11" i="1"/>
  <c r="AC11" i="1" s="1"/>
  <c r="AD11" i="1" s="1"/>
  <c r="AE11" i="1" s="1"/>
  <c r="R13" i="1"/>
  <c r="R16" i="1"/>
  <c r="C21" i="1" s="1"/>
  <c r="C23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9" i="1"/>
  <c r="AJ9" i="1" s="1"/>
  <c r="AC9" i="1"/>
  <c r="AD9" i="1" s="1"/>
  <c r="AC10" i="1"/>
  <c r="AD10" i="1" s="1"/>
  <c r="AE10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I10" i="1"/>
  <c r="I11" i="1"/>
  <c r="I12" i="1"/>
  <c r="I13" i="1"/>
  <c r="I14" i="1"/>
  <c r="I15" i="1"/>
  <c r="I16" i="1"/>
  <c r="I9" i="1"/>
  <c r="C20" i="1" l="1"/>
  <c r="C22" i="1" s="1"/>
  <c r="AE9" i="1"/>
  <c r="AK9" i="1"/>
  <c r="AJ17" i="1"/>
  <c r="AH9" i="1"/>
  <c r="AG17" i="1"/>
  <c r="AG18" i="1" s="1"/>
  <c r="AG19" i="1" s="1"/>
  <c r="AG20" i="1" s="1"/>
  <c r="I20" i="1"/>
  <c r="I21" i="1"/>
  <c r="I23" i="1" s="1"/>
  <c r="C19" i="1"/>
  <c r="F20" i="1"/>
  <c r="F22" i="1" s="1"/>
  <c r="I19" i="1"/>
  <c r="I22" i="1"/>
  <c r="AC16" i="1"/>
  <c r="F19" i="1"/>
  <c r="F21" i="1"/>
  <c r="F23" i="1" s="1"/>
  <c r="AD16" i="1" l="1"/>
  <c r="AE16" i="1" s="1"/>
  <c r="D45" i="1"/>
  <c r="Q43" i="1" s="1"/>
  <c r="B45" i="1"/>
  <c r="Q42" i="1" s="1"/>
  <c r="F45" i="1"/>
  <c r="Q44" i="1" s="1"/>
  <c r="AD17" i="1"/>
  <c r="AD19" i="1" s="1"/>
  <c r="AD20" i="1" s="1"/>
  <c r="AJ18" i="1"/>
  <c r="AJ19" i="1" s="1"/>
  <c r="AJ20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two proximity delay, 
more eggy 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2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two proximity delay, 
more eggy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3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two proximity delay, 
more eggy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4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two proximity delay, 
more eggy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<sst xmlns="http://schemas.openxmlformats.org/spreadsheetml/2006/main" count="1035" uniqueCount="105">
  <si>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</si>
  <si>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</si>
  <si>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</si>
  <si>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</si>
  <si>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</si>
  <si>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</si>
  <si>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</si>
  <si>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</si>
  <si>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</si>
  <si>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</si>
  <si>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</si>
  <si>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</si>
  <si>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</si>
  <si>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</si>
  <si>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</si>
  <si>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</si>
  <si>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</si>
  <si>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</si>
  <si>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</si>
  <si>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</si>
  <si>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</si>
  <si>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</si>
  <si>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</si>
  <si>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</si>
  <si>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</si>
  <si>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</si>
  <si>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</si>
  <si>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</si>
  <si>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</si>
  <si>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</si>
  <si>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</si>
  <si>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</si>
  <si>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</si>
  <si>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</si>
  <si>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</si>
  <si>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</si>
  <si>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</si>
  <si>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</si>
  <si>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</si>
  <si>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</si>
  <si>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</si>
  <si>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</si>
  <si>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</si>
  <si>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</si>
  <si>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</si>
  <si>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</si>
  <si>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</si>
  <si>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</si>
  <si>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</si>
  <si>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>S^2</t>
  </si>
  <si>
    <t>S</t>
  </si>
  <si>
    <t>S.E.</t>
  </si>
  <si>
    <t>regression coefficients need to be &gt;</t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</si>
  <si>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</si>
  <si>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</si>
  <si>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</si>
  <si>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t xml:space="preserve">Cook Time </t>
  </si>
  <si>
    <t xml:space="preserve">Mean response </t>
  </si>
  <si>
    <t xml:space="preserve">Interaction </t>
  </si>
  <si>
    <t>delay vs water</t>
  </si>
  <si>
    <t>delay vs propeller</t>
  </si>
  <si>
    <t>water vs propeller</t>
  </si>
  <si>
    <t>Mean response</t>
  </si>
  <si>
    <t>interaction</t>
  </si>
  <si>
    <t xml:space="preserve">mean response </t>
  </si>
  <si>
    <t xml:space="preserve">Final Temp </t>
  </si>
  <si>
    <t>ME delay</t>
  </si>
  <si>
    <t>ME water</t>
  </si>
  <si>
    <t>ME propeller</t>
  </si>
  <si>
    <t xml:space="preserve">ME water </t>
  </si>
  <si>
    <t>x1</t>
  </si>
  <si>
    <t>x2</t>
  </si>
  <si>
    <t>x1x2</t>
  </si>
  <si>
    <t>delay vs water =</t>
  </si>
  <si>
    <t>delay vs propeller =</t>
  </si>
  <si>
    <t>water vs propeller =</t>
  </si>
  <si>
    <t>+</t>
  </si>
  <si>
    <t>x3</t>
  </si>
  <si>
    <t>x1x3</t>
  </si>
  <si>
    <t>x2x3</t>
  </si>
  <si>
    <t>Resulting 2x2 relationship</t>
  </si>
  <si>
    <t>Final Temp</t>
  </si>
  <si>
    <t>Temperature</t>
  </si>
  <si>
    <t>Avg Temp at Specified Time</t>
  </si>
  <si>
    <t>Temp at Specified Time</t>
  </si>
  <si>
    <t>Cook rate g/s</t>
  </si>
  <si>
    <t>S.D.</t>
  </si>
  <si>
    <r>
      <t>d</t>
    </r>
    <r>
      <rPr>
        <vertAlign val="subscript"/>
        <sz val="11"/>
        <color theme="1"/>
        <rFont val="Times New Roman"/>
        <family val="1"/>
      </rPr>
      <t>12</t>
    </r>
  </si>
  <si>
    <r>
      <t>d</t>
    </r>
    <r>
      <rPr>
        <vertAlign val="subscript"/>
        <sz val="11"/>
        <color theme="1"/>
        <rFont val="Times New Roman"/>
        <family val="1"/>
      </rPr>
      <t>13</t>
    </r>
  </si>
  <si>
    <r>
      <t>d</t>
    </r>
    <r>
      <rPr>
        <vertAlign val="subscript"/>
        <sz val="11"/>
        <color theme="1"/>
        <rFont val="Times New Roman"/>
        <family val="1"/>
      </rPr>
      <t>23</t>
    </r>
  </si>
  <si>
    <r>
      <t>d</t>
    </r>
    <r>
      <rPr>
        <vertAlign val="subscript"/>
        <sz val="11"/>
        <color theme="1"/>
        <rFont val="Times New Roman"/>
        <family val="1"/>
      </rPr>
      <t>123</t>
    </r>
  </si>
  <si>
    <t>Container Weight (g)</t>
  </si>
  <si>
    <t>Cook Rate (g/s)</t>
  </si>
  <si>
    <r>
      <t>Initial Steady-State Temp. (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C)</t>
    </r>
  </si>
  <si>
    <t>Initial Steady-State Temp. (°C)</t>
  </si>
  <si>
    <t>Average (g/s)</t>
  </si>
  <si>
    <r>
      <t>S</t>
    </r>
    <r>
      <rPr>
        <vertAlign val="superscript"/>
        <sz val="11"/>
        <color theme="1"/>
        <rFont val="Times New Roman"/>
        <family val="1"/>
      </rPr>
      <t>2</t>
    </r>
  </si>
  <si>
    <t>Variance</t>
  </si>
  <si>
    <r>
      <t>Average (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C)</t>
    </r>
  </si>
  <si>
    <t xml:space="preserve">Average </t>
  </si>
  <si>
    <t>Data Set 1</t>
  </si>
  <si>
    <t>Data Set 2</t>
  </si>
  <si>
    <t xml:space="preserve">Slope </t>
  </si>
  <si>
    <t>Slope</t>
  </si>
  <si>
    <t xml:space="preserve">Consistency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</si>
</sst>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 applyAlignmen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7" fillId="0" borderId="0" xfId="0" applyFont="1"/>
    <xf numFmtId="0" fontId="7" fillId="6" borderId="0" xfId="0" applyFont="1" applyFill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8" borderId="0" xfId="0" applyFont="1" applyFill="1"/>
    <xf numFmtId="0" fontId="7" fillId="5" borderId="0" xfId="0" applyFont="1" applyFill="1"/>
    <xf numFmtId="0" fontId="7" fillId="7" borderId="0" xfId="0" applyFont="1" applyFill="1"/>
    <xf numFmtId="14" fontId="7" fillId="0" borderId="0" xfId="0" applyNumberFormat="1" applyFont="1"/>
    <xf numFmtId="22" fontId="7" fillId="0" borderId="0" xfId="0" applyNumberFormat="1" applyFont="1"/>
    <xf numFmtId="16" fontId="7" fillId="0" borderId="0" xfId="0" applyNumberFormat="1" applyFont="1"/>
    <xf numFmtId="16" fontId="7" fillId="0" borderId="0" xfId="0" applyNumberFormat="1" applyFont="1" applyBorder="1" applyAlignment="1"/>
    <xf numFmtId="16" fontId="7" fillId="0" borderId="0" xfId="0" applyNumberFormat="1" applyFont="1" applyAlignment="1"/>
    <xf numFmtId="0" fontId="7" fillId="0" borderId="0" xfId="0" applyFont="1" applyBorder="1" applyAlignment="1"/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7" fillId="3" borderId="0" xfId="0" applyFont="1" applyFill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6" borderId="0" xfId="0" applyFont="1" applyFill="1"/>
    <xf numFmtId="0" fontId="7" fillId="0" borderId="0" xfId="0" applyFont="1" applyFill="1"/>
    <xf numFmtId="0" fontId="7" fillId="0" borderId="4" xfId="0" applyFont="1" applyFill="1" applyBorder="1"/>
    <xf numFmtId="0" fontId="7" fillId="0" borderId="5" xfId="0" applyFont="1" applyFill="1" applyBorder="1"/>
    <xf numFmtId="0" fontId="7" fillId="0" borderId="9" xfId="0" applyFont="1" applyFill="1" applyBorder="1"/>
    <xf numFmtId="0" fontId="7" fillId="0" borderId="9" xfId="0" applyFont="1" applyBorder="1"/>
    <xf numFmtId="14" fontId="7" fillId="0" borderId="9" xfId="0" applyNumberFormat="1" applyFont="1" applyBorder="1"/>
    <xf numFmtId="2" fontId="7" fillId="0" borderId="9" xfId="0" applyNumberFormat="1" applyFont="1" applyBorder="1"/>
    <xf numFmtId="164" fontId="7" fillId="0" borderId="9" xfId="0" applyNumberFormat="1" applyFont="1" applyBorder="1"/>
    <xf numFmtId="22" fontId="7" fillId="0" borderId="9" xfId="0" applyNumberFormat="1" applyFont="1" applyBorder="1"/>
    <xf numFmtId="16" fontId="7" fillId="0" borderId="9" xfId="0" applyNumberFormat="1" applyFont="1" applyBorder="1"/>
    <xf numFmtId="16" fontId="7" fillId="9" borderId="0" xfId="0" applyNumberFormat="1" applyFont="1" applyFill="1" applyBorder="1" applyAlignment="1"/>
    <xf numFmtId="16" fontId="7" fillId="9" borderId="0" xfId="0" applyNumberFormat="1" applyFont="1" applyFill="1" applyAlignment="1"/>
    <xf numFmtId="0" fontId="7" fillId="9" borderId="0" xfId="0" applyFont="1" applyFill="1"/>
    <xf numFmtId="0" fontId="7" fillId="9" borderId="0" xfId="0" applyFont="1" applyFill="1" applyBorder="1" applyAlignment="1"/>
    <xf numFmtId="0" fontId="7" fillId="9" borderId="0" xfId="0" applyFont="1" applyFill="1" applyBorder="1"/>
    <xf numFmtId="2" fontId="7" fillId="9" borderId="0" xfId="0" applyNumberFormat="1" applyFont="1" applyFill="1" applyBorder="1"/>
    <xf numFmtId="16" fontId="0" fillId="0" borderId="1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0372725" y="5895974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2265" y="3252788"/>
          <a:ext cx="3043235" cy="1771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0</xdr:col>
      <xdr:colOff>633416</xdr:colOff>
      <xdr:row>20</xdr:row>
      <xdr:rowOff>114300</xdr:rowOff>
    </xdr:from>
    <xdr:to>
      <xdr:col>5</xdr:col>
      <xdr:colOff>276225</xdr:colOff>
      <xdr:row>24</xdr:row>
      <xdr:rowOff>9525</xdr:rowOff>
    </xdr:to>
    <xdr:sp macro="" textlink="">
      <xdr:nvSpPr>
        <xdr:cNvPr id="6" name="TextBox 5"/>
        <xdr:cNvSpPr txBox="1"/>
      </xdr:nvSpPr>
      <xdr:spPr>
        <a:xfrm>
          <a:off x="633416" y="3776663"/>
          <a:ext cx="2895597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Attempted to make</a:t>
          </a:r>
          <a:r>
            <a:rPr lang="en-US" sz="1100" baseline="0"/>
            <a:t> a 3x2 relationship, but cannot plot that on Matlab like rylander did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3067349" y="3288981"/>
          <a:ext cx="2465069" cy="2605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9894570" y="3269932"/>
          <a:ext cx="2991803" cy="2887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3043535" y="5955981"/>
          <a:ext cx="3219450" cy="2348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9885" y="3284220"/>
          <a:ext cx="3050855" cy="1790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18</xdr:col>
      <xdr:colOff>112395</xdr:colOff>
      <xdr:row>46</xdr:row>
      <xdr:rowOff>104775</xdr:rowOff>
    </xdr:from>
    <xdr:to>
      <xdr:col>22</xdr:col>
      <xdr:colOff>231458</xdr:colOff>
      <xdr:row>53</xdr:row>
      <xdr:rowOff>42861</xdr:rowOff>
    </xdr:to>
    <xdr:sp macro="" textlink="">
      <xdr:nvSpPr>
        <xdr:cNvPr id="7" name="TextBox 6"/>
        <xdr:cNvSpPr txBox="1"/>
      </xdr:nvSpPr>
      <xdr:spPr>
        <a:xfrm>
          <a:off x="11247120" y="8472488"/>
          <a:ext cx="2986088" cy="1204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Temp: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Decent</a:t>
          </a:r>
          <a:r>
            <a:rPr lang="en-US" sz="1100" baseline="0"/>
            <a:t> results and most coefficients larger than double the standard error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4050329" y="3212781"/>
          <a:ext cx="2465069" cy="2547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10565130" y="3193732"/>
          <a:ext cx="3304223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4026515" y="5822631"/>
          <a:ext cx="3219450" cy="229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7350445" y="3208020"/>
          <a:ext cx="3050855" cy="1752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18</xdr:col>
      <xdr:colOff>112395</xdr:colOff>
      <xdr:row>46</xdr:row>
      <xdr:rowOff>104775</xdr:rowOff>
    </xdr:from>
    <xdr:to>
      <xdr:col>22</xdr:col>
      <xdr:colOff>231458</xdr:colOff>
      <xdr:row>53</xdr:row>
      <xdr:rowOff>42861</xdr:rowOff>
    </xdr:to>
    <xdr:sp macro="" textlink="">
      <xdr:nvSpPr>
        <xdr:cNvPr id="6" name="TextBox 5"/>
        <xdr:cNvSpPr txBox="1"/>
      </xdr:nvSpPr>
      <xdr:spPr>
        <a:xfrm>
          <a:off x="11938635" y="8372475"/>
          <a:ext cx="3304223" cy="1191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Temp: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Decent</a:t>
          </a:r>
          <a:r>
            <a:rPr lang="en-US" sz="1100" baseline="0"/>
            <a:t> results and most coefficients larger than double the standard error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4050329" y="3212781"/>
          <a:ext cx="2465069" cy="2547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10565130" y="3193732"/>
          <a:ext cx="3304223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4026515" y="5822631"/>
          <a:ext cx="3219450" cy="229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7350445" y="3208020"/>
          <a:ext cx="3050855" cy="1752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18</xdr:col>
      <xdr:colOff>112395</xdr:colOff>
      <xdr:row>46</xdr:row>
      <xdr:rowOff>104775</xdr:rowOff>
    </xdr:from>
    <xdr:to>
      <xdr:col>22</xdr:col>
      <xdr:colOff>231458</xdr:colOff>
      <xdr:row>53</xdr:row>
      <xdr:rowOff>42861</xdr:rowOff>
    </xdr:to>
    <xdr:sp macro="" textlink="">
      <xdr:nvSpPr>
        <xdr:cNvPr id="6" name="TextBox 5"/>
        <xdr:cNvSpPr txBox="1"/>
      </xdr:nvSpPr>
      <xdr:spPr>
        <a:xfrm>
          <a:off x="11938635" y="8372475"/>
          <a:ext cx="3304223" cy="1191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Temp: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Decent</a:t>
          </a:r>
          <a:r>
            <a:rPr lang="en-US" sz="1100" baseline="0"/>
            <a:t> results and most coefficients larger than double the standard error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opLeftCell="A14" zoomScale="80" zoomScaleNormal="80" workbookViewId="0">
      <selection activeCell="R7" sqref="R7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9.7890625" customWidth="1"/>
    <col min="9" max="9" width="8.41796875" customWidth="1"/>
    <col min="10" max="10" width="5.47265625" customWidth="1"/>
    <col min="11" max="17" width="8.83984375" customWidth="1"/>
    <col min="19" max="19" width="13.15625" customWidth="1"/>
    <col min="20" max="27" width="8.83984375" customWidth="1"/>
  </cols>
  <sheetData>
    <row r="1" spans="1:37" x14ac:dyDescent="0.55000000000000004">
      <c r="A1" t="s">
        <v>4</v>
      </c>
    </row>
    <row r="2" spans="1:37" x14ac:dyDescent="0.55000000000000004">
      <c r="A2" t="s">
        <v>0</v>
      </c>
      <c r="B2" t="s">
        <v>5</v>
      </c>
      <c r="C2">
        <v>25</v>
      </c>
    </row>
    <row r="3" spans="1:37" x14ac:dyDescent="0.55000000000000004">
      <c r="A3" t="s">
        <v>1</v>
      </c>
      <c r="B3" t="s">
        <v>5</v>
      </c>
      <c r="C3">
        <v>26</v>
      </c>
    </row>
    <row r="4" spans="1:37" x14ac:dyDescent="0.55000000000000004">
      <c r="A4" t="s">
        <v>2</v>
      </c>
      <c r="B4" t="s">
        <v>5</v>
      </c>
      <c r="C4">
        <v>77</v>
      </c>
    </row>
    <row r="5" spans="1:37" x14ac:dyDescent="0.55000000000000004">
      <c r="A5" t="s">
        <v>3</v>
      </c>
      <c r="B5" t="s">
        <v>5</v>
      </c>
      <c r="C5">
        <v>237</v>
      </c>
    </row>
    <row r="7" spans="1:37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7"/>
      <c r="T7" s="7"/>
      <c r="U7" s="7" t="s">
        <v>16</v>
      </c>
      <c r="V7" s="7"/>
      <c r="W7" s="7"/>
      <c r="X7" s="7"/>
      <c r="Y7" s="7"/>
      <c r="Z7" s="7"/>
      <c r="AA7" s="7"/>
      <c r="AB7" s="7"/>
      <c r="AC7" s="4" t="s">
        <v>13</v>
      </c>
      <c r="AD7" s="4"/>
      <c r="AE7" s="4"/>
      <c r="AF7" s="5" t="s">
        <v>48</v>
      </c>
      <c r="AG7" s="5"/>
      <c r="AH7" s="5"/>
      <c r="AI7" s="6" t="s">
        <v>32</v>
      </c>
      <c r="AJ7" s="6"/>
      <c r="AK7" s="6"/>
    </row>
    <row r="8" spans="1:37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53</v>
      </c>
      <c r="G8" t="s">
        <v>54</v>
      </c>
      <c r="H8" t="s">
        <v>55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33</v>
      </c>
      <c r="R8" t="s">
        <v>26</v>
      </c>
      <c r="S8" t="s">
        <v>44</v>
      </c>
      <c r="T8" t="s">
        <v>41</v>
      </c>
      <c r="U8" t="s">
        <v>14</v>
      </c>
      <c r="V8" t="s">
        <v>31</v>
      </c>
      <c r="W8" t="s">
        <v>43</v>
      </c>
      <c r="X8" t="s">
        <v>11</v>
      </c>
      <c r="Y8" t="s">
        <v>48</v>
      </c>
      <c r="Z8" t="s">
        <v>12</v>
      </c>
      <c r="AA8" t="s">
        <v>34</v>
      </c>
      <c r="AB8" t="s">
        <v>13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  <c r="AI8" t="s">
        <v>18</v>
      </c>
      <c r="AJ8" t="s">
        <v>20</v>
      </c>
      <c r="AK8" t="s">
        <v>19</v>
      </c>
    </row>
    <row r="9" spans="1:37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66.39</v>
      </c>
      <c r="R9">
        <f>(740730-121134)/1000</f>
        <v>619.596</v>
      </c>
      <c r="S9" s="1">
        <v>43202.181250000001</v>
      </c>
      <c r="T9">
        <v>512</v>
      </c>
      <c r="U9">
        <v>268</v>
      </c>
      <c r="V9" t="s">
        <v>42</v>
      </c>
      <c r="W9">
        <v>25</v>
      </c>
      <c r="X9">
        <v>210</v>
      </c>
      <c r="Y9">
        <f>(T9-U9)-(X9-W9)</f>
        <v>59</v>
      </c>
      <c r="Z9">
        <v>0.26</v>
      </c>
      <c r="AA9">
        <v>51.66</v>
      </c>
      <c r="AB9">
        <f>(589783-143635)/1000</f>
        <v>446.14800000000002</v>
      </c>
      <c r="AC9">
        <f>AVERAGE(R9,AB9)</f>
        <v>532.87200000000007</v>
      </c>
      <c r="AD9">
        <f>((R9-AC9)^2+(AB9-AC9)^2)/(2-1)</f>
        <v>15042.104351999997</v>
      </c>
      <c r="AE9">
        <f>SQRT(AD9)</f>
        <v>122.64625698324429</v>
      </c>
      <c r="AF9">
        <f t="shared" ref="AF9:AF16" si="0">AVERAGE(O9,Y9)</f>
        <v>73</v>
      </c>
      <c r="AG9">
        <f>((O9-AF9)^2+(Y9-AF9)^2)/(2-1)</f>
        <v>392</v>
      </c>
      <c r="AH9">
        <f>SQRT(AG9)</f>
        <v>19.798989873223331</v>
      </c>
      <c r="AI9">
        <f>AVERAGE(Q9,AA9)</f>
        <v>59.024999999999999</v>
      </c>
      <c r="AJ9">
        <f>((Q9-AI9)^2+(AA9-AI9)^2)/(2-1)</f>
        <v>108.48645000000006</v>
      </c>
      <c r="AK9">
        <f>SQRT(AJ9)</f>
        <v>10.415682886877848</v>
      </c>
    </row>
    <row r="10" spans="1:37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</f>
        <v>-1</v>
      </c>
      <c r="G10">
        <f t="shared" ref="G10:G16" si="2">C10*E10</f>
        <v>-1</v>
      </c>
      <c r="H10">
        <f t="shared" ref="H10:H16" si="3">D10*E10</f>
        <v>1</v>
      </c>
      <c r="I10">
        <f t="shared" ref="I10:I16" si="4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5">(J10-K10)-(N10-M10)</f>
        <v>65</v>
      </c>
      <c r="P10">
        <v>0.28000000000000003</v>
      </c>
      <c r="Q10">
        <v>66.67</v>
      </c>
      <c r="R10">
        <f>(595490-168671)/1000</f>
        <v>426.81900000000002</v>
      </c>
      <c r="S10" s="1">
        <v>43211.166666666664</v>
      </c>
      <c r="T10">
        <v>516</v>
      </c>
      <c r="U10">
        <v>271</v>
      </c>
      <c r="V10" t="s">
        <v>42</v>
      </c>
      <c r="W10">
        <v>25</v>
      </c>
      <c r="X10">
        <v>213</v>
      </c>
      <c r="Y10">
        <f t="shared" ref="Y10:Y16" si="6">(T10-U10)-(X10-W10)</f>
        <v>57</v>
      </c>
      <c r="Z10">
        <f>0.27</f>
        <v>0.27</v>
      </c>
      <c r="AA10">
        <v>67.73</v>
      </c>
      <c r="AB10">
        <f>(1157316-619644)/1000</f>
        <v>537.67200000000003</v>
      </c>
      <c r="AC10">
        <f t="shared" ref="AC10:AC16" si="7">AVERAGE(R10,AB10)</f>
        <v>482.24549999999999</v>
      </c>
      <c r="AD10">
        <f t="shared" ref="AD10:AD16" si="8">((R10-AC10)^2+(AB10-AC10)^2)/(2-1)</f>
        <v>6144.1938045000006</v>
      </c>
      <c r="AE10">
        <f t="shared" ref="AE10:AE16" si="9">SQRT(AD10)</f>
        <v>78.384908014872352</v>
      </c>
      <c r="AF10">
        <f t="shared" si="0"/>
        <v>61</v>
      </c>
      <c r="AG10">
        <f t="shared" ref="AG10:AG16" si="10">((O10-AF10)^2+(Y10-AF10)^2)/(2-1)</f>
        <v>32</v>
      </c>
      <c r="AH10">
        <f t="shared" ref="AH10:AH16" si="11">SQRT(AG10)</f>
        <v>5.6568542494923806</v>
      </c>
      <c r="AI10">
        <f t="shared" ref="AI10:AI16" si="12">AVERAGE(Q10,AA10)</f>
        <v>67.2</v>
      </c>
      <c r="AJ10">
        <f t="shared" ref="AJ10:AJ16" si="13">((Q10-AI10)^2+(AA10-AI10)^2)/(2-1)</f>
        <v>0.56180000000000241</v>
      </c>
      <c r="AK10">
        <f t="shared" ref="AK10:AK16" si="14">SQRT(AJ10)</f>
        <v>0.74953318805774194</v>
      </c>
    </row>
    <row r="11" spans="1:37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-1</v>
      </c>
      <c r="G11">
        <f t="shared" si="2"/>
        <v>1</v>
      </c>
      <c r="H11">
        <f t="shared" si="3"/>
        <v>-1</v>
      </c>
      <c r="I11">
        <f t="shared" si="4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5"/>
        <v>73</v>
      </c>
      <c r="P11">
        <v>0.28000000000000003</v>
      </c>
      <c r="Q11">
        <v>59.375</v>
      </c>
      <c r="R11">
        <f>(695760-154635)/1000</f>
        <v>541.125</v>
      </c>
      <c r="T11">
        <v>508</v>
      </c>
      <c r="U11">
        <v>246</v>
      </c>
      <c r="V11" t="s">
        <v>42</v>
      </c>
      <c r="W11">
        <v>25</v>
      </c>
      <c r="X11">
        <v>233</v>
      </c>
      <c r="Y11">
        <f t="shared" si="6"/>
        <v>54</v>
      </c>
      <c r="Z11">
        <v>0.28000000000000003</v>
      </c>
      <c r="AA11">
        <v>70.266999999999996</v>
      </c>
      <c r="AB11">
        <f>(431110-54132)/1000</f>
        <v>376.97800000000001</v>
      </c>
      <c r="AC11">
        <f t="shared" si="7"/>
        <v>459.05150000000003</v>
      </c>
      <c r="AD11">
        <f t="shared" si="8"/>
        <v>13472.118804499998</v>
      </c>
      <c r="AE11">
        <f t="shared" si="9"/>
        <v>116.06945681142821</v>
      </c>
      <c r="AF11">
        <f t="shared" si="0"/>
        <v>63.5</v>
      </c>
      <c r="AG11">
        <f t="shared" si="10"/>
        <v>180.5</v>
      </c>
      <c r="AH11">
        <f t="shared" si="11"/>
        <v>13.435028842544403</v>
      </c>
      <c r="AI11">
        <f t="shared" si="12"/>
        <v>64.820999999999998</v>
      </c>
      <c r="AJ11">
        <f t="shared" si="13"/>
        <v>59.317831999999953</v>
      </c>
      <c r="AK11">
        <f t="shared" si="14"/>
        <v>7.7018070606838727</v>
      </c>
    </row>
    <row r="12" spans="1:37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1</v>
      </c>
      <c r="G12">
        <f t="shared" si="2"/>
        <v>-1</v>
      </c>
      <c r="H12">
        <f t="shared" si="3"/>
        <v>-1</v>
      </c>
      <c r="I12">
        <f t="shared" si="4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5"/>
        <v>71</v>
      </c>
      <c r="P12">
        <v>0.27</v>
      </c>
      <c r="Q12">
        <v>63.875</v>
      </c>
      <c r="R12">
        <f>(455924-46133)/1000</f>
        <v>409.791</v>
      </c>
      <c r="S12" s="1">
        <v>43211.15625</v>
      </c>
      <c r="T12">
        <v>506</v>
      </c>
      <c r="U12">
        <v>252</v>
      </c>
      <c r="V12" t="s">
        <v>1</v>
      </c>
      <c r="W12">
        <v>26</v>
      </c>
      <c r="X12">
        <v>214</v>
      </c>
      <c r="Y12">
        <f t="shared" si="6"/>
        <v>66</v>
      </c>
      <c r="Z12">
        <v>0.27</v>
      </c>
      <c r="AA12">
        <v>64.015600000000006</v>
      </c>
      <c r="AB12">
        <f>(1157316-619644)/1000</f>
        <v>537.67200000000003</v>
      </c>
      <c r="AC12">
        <f t="shared" si="7"/>
        <v>473.73149999999998</v>
      </c>
      <c r="AD12">
        <f t="shared" si="8"/>
        <v>8176.7750805000032</v>
      </c>
      <c r="AE12">
        <f t="shared" si="9"/>
        <v>90.425522284916909</v>
      </c>
      <c r="AF12">
        <f t="shared" si="0"/>
        <v>68.5</v>
      </c>
      <c r="AG12">
        <f t="shared" si="10"/>
        <v>12.5</v>
      </c>
      <c r="AH12">
        <f t="shared" si="11"/>
        <v>3.5355339059327378</v>
      </c>
      <c r="AI12">
        <f t="shared" si="12"/>
        <v>63.945300000000003</v>
      </c>
      <c r="AJ12">
        <f t="shared" si="13"/>
        <v>9.8841800000008823E-3</v>
      </c>
      <c r="AK12">
        <f t="shared" si="14"/>
        <v>9.9419213434833023E-2</v>
      </c>
    </row>
    <row r="13" spans="1:37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f t="shared" si="2"/>
        <v>-1</v>
      </c>
      <c r="H13">
        <f t="shared" si="3"/>
        <v>-1</v>
      </c>
      <c r="I13">
        <f t="shared" si="4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5"/>
        <v>76</v>
      </c>
      <c r="P13">
        <v>0.27</v>
      </c>
      <c r="Q13">
        <v>63.5625</v>
      </c>
      <c r="R13">
        <f>(668955-268054)/1000</f>
        <v>400.90100000000001</v>
      </c>
      <c r="S13" s="1">
        <v>43211.208333333336</v>
      </c>
      <c r="T13">
        <v>498</v>
      </c>
      <c r="U13">
        <v>273</v>
      </c>
      <c r="V13" t="s">
        <v>1</v>
      </c>
      <c r="W13">
        <v>26</v>
      </c>
      <c r="X13">
        <v>182</v>
      </c>
      <c r="Y13">
        <f t="shared" si="6"/>
        <v>69</v>
      </c>
      <c r="Z13">
        <v>0.27</v>
      </c>
      <c r="AA13">
        <v>62.92</v>
      </c>
      <c r="AB13">
        <f>(468113-125634)/1000</f>
        <v>342.47899999999998</v>
      </c>
      <c r="AC13">
        <f t="shared" si="7"/>
        <v>371.69</v>
      </c>
      <c r="AD13">
        <f t="shared" si="8"/>
        <v>1706.5650420000015</v>
      </c>
      <c r="AE13">
        <f t="shared" si="9"/>
        <v>41.310592370480499</v>
      </c>
      <c r="AF13">
        <f t="shared" si="0"/>
        <v>72.5</v>
      </c>
      <c r="AG13">
        <f t="shared" si="10"/>
        <v>24.5</v>
      </c>
      <c r="AH13">
        <f t="shared" si="11"/>
        <v>4.9497474683058327</v>
      </c>
      <c r="AI13">
        <f t="shared" si="12"/>
        <v>63.241250000000001</v>
      </c>
      <c r="AJ13">
        <f t="shared" si="13"/>
        <v>0.20640312499999891</v>
      </c>
      <c r="AK13">
        <f t="shared" si="14"/>
        <v>0.45431610691235558</v>
      </c>
    </row>
    <row r="14" spans="1:37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f t="shared" si="2"/>
        <v>-1</v>
      </c>
      <c r="H14">
        <f t="shared" si="3"/>
        <v>1</v>
      </c>
      <c r="I14">
        <f t="shared" si="4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5"/>
        <v>74</v>
      </c>
      <c r="P14">
        <v>0.27</v>
      </c>
      <c r="Q14">
        <v>63.1875</v>
      </c>
      <c r="R14">
        <v>424.09500000000003</v>
      </c>
      <c r="S14" s="1">
        <v>43211.229166666664</v>
      </c>
      <c r="T14">
        <v>502</v>
      </c>
      <c r="U14">
        <v>251</v>
      </c>
      <c r="V14" t="s">
        <v>1</v>
      </c>
      <c r="W14">
        <v>26</v>
      </c>
      <c r="X14">
        <v>214</v>
      </c>
      <c r="Y14">
        <f t="shared" si="6"/>
        <v>63</v>
      </c>
      <c r="Z14">
        <v>0.27</v>
      </c>
      <c r="AA14">
        <v>66.9375</v>
      </c>
      <c r="AB14">
        <f>(1931393-1562166)/1000</f>
        <v>369.22699999999998</v>
      </c>
      <c r="AC14">
        <f t="shared" si="7"/>
        <v>396.661</v>
      </c>
      <c r="AD14">
        <f t="shared" si="8"/>
        <v>1505.2487120000028</v>
      </c>
      <c r="AE14">
        <f t="shared" si="9"/>
        <v>38.797534870143522</v>
      </c>
      <c r="AF14">
        <f t="shared" si="0"/>
        <v>68.5</v>
      </c>
      <c r="AG14">
        <f t="shared" si="10"/>
        <v>60.5</v>
      </c>
      <c r="AH14">
        <f t="shared" si="11"/>
        <v>7.7781745930520225</v>
      </c>
      <c r="AI14">
        <f t="shared" si="12"/>
        <v>65.0625</v>
      </c>
      <c r="AJ14">
        <f t="shared" si="13"/>
        <v>7.03125</v>
      </c>
      <c r="AK14">
        <f t="shared" si="14"/>
        <v>2.6516504294495533</v>
      </c>
    </row>
    <row r="15" spans="1:37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f t="shared" si="2"/>
        <v>1</v>
      </c>
      <c r="H15">
        <f t="shared" si="3"/>
        <v>-1</v>
      </c>
      <c r="I15">
        <f t="shared" si="4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5"/>
        <v>92</v>
      </c>
      <c r="P15">
        <v>0.26</v>
      </c>
      <c r="Q15">
        <v>53.1875</v>
      </c>
      <c r="R15">
        <v>523.80499999999995</v>
      </c>
      <c r="S15" s="1">
        <v>43211.270833333336</v>
      </c>
      <c r="T15">
        <v>510</v>
      </c>
      <c r="U15">
        <v>269</v>
      </c>
      <c r="V15" t="s">
        <v>42</v>
      </c>
      <c r="W15">
        <v>25</v>
      </c>
      <c r="X15">
        <v>200</v>
      </c>
      <c r="Y15">
        <f t="shared" si="6"/>
        <v>66</v>
      </c>
      <c r="Z15">
        <v>0.27</v>
      </c>
      <c r="AA15">
        <v>71.625</v>
      </c>
      <c r="AB15">
        <f>(535961-126134)/1000</f>
        <v>409.827</v>
      </c>
      <c r="AC15">
        <f t="shared" si="7"/>
        <v>466.81599999999997</v>
      </c>
      <c r="AD15">
        <f t="shared" si="8"/>
        <v>6495.4922419999948</v>
      </c>
      <c r="AE15">
        <f t="shared" si="9"/>
        <v>80.594616706080288</v>
      </c>
      <c r="AF15">
        <f t="shared" si="0"/>
        <v>79</v>
      </c>
      <c r="AG15">
        <f t="shared" si="10"/>
        <v>338</v>
      </c>
      <c r="AH15">
        <f t="shared" si="11"/>
        <v>18.384776310850235</v>
      </c>
      <c r="AI15">
        <f t="shared" si="12"/>
        <v>62.40625</v>
      </c>
      <c r="AJ15">
        <f t="shared" si="13"/>
        <v>169.970703125</v>
      </c>
      <c r="AK15">
        <f t="shared" si="14"/>
        <v>13.03728127812697</v>
      </c>
    </row>
    <row r="16" spans="1:37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5"/>
        <v>71</v>
      </c>
      <c r="P16">
        <v>0.27</v>
      </c>
      <c r="Q16">
        <v>64.75</v>
      </c>
      <c r="R16">
        <f>(559365-137634)/1000</f>
        <v>421.73099999999999</v>
      </c>
      <c r="S16" s="1">
        <v>43211.244444444441</v>
      </c>
      <c r="T16">
        <v>505</v>
      </c>
      <c r="U16">
        <v>249</v>
      </c>
      <c r="V16" t="s">
        <v>42</v>
      </c>
      <c r="W16">
        <v>25</v>
      </c>
      <c r="X16">
        <v>220</v>
      </c>
      <c r="Y16">
        <f t="shared" si="6"/>
        <v>61</v>
      </c>
      <c r="Z16">
        <v>0.27</v>
      </c>
      <c r="AA16">
        <v>62.09</v>
      </c>
      <c r="AB16">
        <f>(814747-434640)/1000</f>
        <v>380.10700000000003</v>
      </c>
      <c r="AC16">
        <f t="shared" si="7"/>
        <v>400.91899999999998</v>
      </c>
      <c r="AD16">
        <f t="shared" si="8"/>
        <v>866.27868799999862</v>
      </c>
      <c r="AE16">
        <f t="shared" si="9"/>
        <v>29.43261266010883</v>
      </c>
      <c r="AF16">
        <f t="shared" si="0"/>
        <v>66</v>
      </c>
      <c r="AG16">
        <f t="shared" si="10"/>
        <v>50</v>
      </c>
      <c r="AH16">
        <f t="shared" si="11"/>
        <v>7.0710678118654755</v>
      </c>
      <c r="AI16">
        <f t="shared" si="12"/>
        <v>63.42</v>
      </c>
      <c r="AJ16">
        <f t="shared" si="13"/>
        <v>3.537799999999991</v>
      </c>
      <c r="AK16">
        <f t="shared" si="14"/>
        <v>1.8809040379562141</v>
      </c>
    </row>
    <row r="17" spans="1:36" x14ac:dyDescent="0.55000000000000004">
      <c r="A17" s="60" t="s">
        <v>13</v>
      </c>
      <c r="B17" s="61"/>
      <c r="C17" s="61"/>
      <c r="D17" s="61"/>
      <c r="E17" s="61"/>
      <c r="F17" s="61"/>
      <c r="G17" s="61"/>
      <c r="H17" s="61"/>
      <c r="I17" s="62"/>
      <c r="J17" s="17"/>
      <c r="K17" s="17"/>
      <c r="L17" s="17"/>
      <c r="AC17" t="s">
        <v>49</v>
      </c>
      <c r="AD17">
        <f>SUM(AD9:AD16)/8</f>
        <v>6676.0970906874991</v>
      </c>
      <c r="AF17" t="s">
        <v>49</v>
      </c>
      <c r="AG17">
        <f>SUM(AG9:AG16)/8</f>
        <v>136.25</v>
      </c>
      <c r="AI17" t="s">
        <v>49</v>
      </c>
      <c r="AJ17">
        <f>SUM(AJ9:AJ16)/8</f>
        <v>43.640265303750006</v>
      </c>
    </row>
    <row r="18" spans="1:36" s="2" customFormat="1" x14ac:dyDescent="0.55000000000000004">
      <c r="A18" s="66" t="s">
        <v>8</v>
      </c>
      <c r="B18" s="67"/>
      <c r="C18" s="67"/>
      <c r="D18" s="67" t="s">
        <v>46</v>
      </c>
      <c r="E18" s="67"/>
      <c r="F18" s="67"/>
      <c r="G18" s="67" t="s">
        <v>9</v>
      </c>
      <c r="H18" s="67"/>
      <c r="I18" s="68"/>
      <c r="AC18" s="2" t="s">
        <v>50</v>
      </c>
      <c r="AD18" s="2">
        <f>SQRT(AD17)</f>
        <v>81.707387001956562</v>
      </c>
      <c r="AF18" s="2" t="s">
        <v>50</v>
      </c>
      <c r="AG18" s="2">
        <f>SQRT(AG17)</f>
        <v>11.672617529928752</v>
      </c>
      <c r="AI18" s="2" t="s">
        <v>50</v>
      </c>
      <c r="AJ18" s="2">
        <f>SQRT(AJ17)</f>
        <v>6.6060779062731321</v>
      </c>
    </row>
    <row r="19" spans="1:36" s="2" customFormat="1" x14ac:dyDescent="0.55000000000000004">
      <c r="A19" s="12" t="s">
        <v>21</v>
      </c>
      <c r="B19" s="2" t="s">
        <v>22</v>
      </c>
      <c r="C19" s="11">
        <f>AVERAGE(R9:R16,AB9:AB16)</f>
        <v>447.99831250000005</v>
      </c>
      <c r="D19" s="2" t="s">
        <v>21</v>
      </c>
      <c r="E19" s="10" t="s">
        <v>22</v>
      </c>
      <c r="F19" s="2">
        <f>AVERAGE(R9:R16,AB9:AB16)</f>
        <v>447.99831250000005</v>
      </c>
      <c r="G19" s="2" t="s">
        <v>21</v>
      </c>
      <c r="H19" s="10" t="s">
        <v>22</v>
      </c>
      <c r="I19" s="18">
        <f>AVERAGE(R9:R16,AB9:AB16)</f>
        <v>447.99831250000005</v>
      </c>
      <c r="AC19" s="2" t="s">
        <v>51</v>
      </c>
      <c r="AD19" s="2">
        <f>AD18/SQRT(16)</f>
        <v>20.42684675048914</v>
      </c>
      <c r="AF19" s="2" t="s">
        <v>51</v>
      </c>
      <c r="AG19" s="2">
        <f>AG18/SQRT(16)</f>
        <v>2.9181543824821881</v>
      </c>
      <c r="AI19" s="2" t="s">
        <v>51</v>
      </c>
      <c r="AJ19" s="2">
        <f>AJ18/SQRT(16)</f>
        <v>1.651519476568283</v>
      </c>
    </row>
    <row r="20" spans="1:36" s="2" customFormat="1" x14ac:dyDescent="0.55000000000000004">
      <c r="A20" s="12" t="s">
        <v>23</v>
      </c>
      <c r="B20" s="2" t="s">
        <v>24</v>
      </c>
      <c r="C20" s="11">
        <f>AVERAGE(R10,R12,R15:R16,AB10,AB12,AB15:AB16)-AVERAGE(R9,R11,R13:R14,AB9,AB11,AB13:AB14)</f>
        <v>15.859375</v>
      </c>
      <c r="D20" s="2" t="s">
        <v>23</v>
      </c>
      <c r="E20" s="10" t="s">
        <v>38</v>
      </c>
      <c r="F20" s="2">
        <f>AVERAGE(R11,R12,R14,R16,AB11,AB12,AB14,AB16)-AVERAGE(R9,R10,R13,R15,AB9,AB10,AB13,AB15)</f>
        <v>-30.81512500000008</v>
      </c>
      <c r="G20" s="2" t="s">
        <v>23</v>
      </c>
      <c r="H20" s="10" t="s">
        <v>40</v>
      </c>
      <c r="I20" s="18">
        <f>AVERAGE(R13:R16,AB13:AB16)-AVERAGE(R9:R12,AB9:AB12)</f>
        <v>-77.953625000000045</v>
      </c>
      <c r="AC20" s="10" t="s">
        <v>52</v>
      </c>
      <c r="AD20" s="2">
        <f>2*AD19</f>
        <v>40.853693500978281</v>
      </c>
      <c r="AF20" s="10" t="s">
        <v>52</v>
      </c>
      <c r="AG20" s="2">
        <f>2*AG19</f>
        <v>5.8363087649643761</v>
      </c>
      <c r="AI20" s="10" t="s">
        <v>52</v>
      </c>
      <c r="AJ20" s="2">
        <f>2*AJ19</f>
        <v>3.303038953136566</v>
      </c>
    </row>
    <row r="21" spans="1:36" x14ac:dyDescent="0.55000000000000004">
      <c r="A21" s="12" t="s">
        <v>25</v>
      </c>
      <c r="B21" s="2" t="s">
        <v>24</v>
      </c>
      <c r="C21" s="11">
        <f>AVERAGE(R10,R11,R13,R16,AB10,AB11,AB13,AB16)-AVERAGE(R9,R12,R14:R15,AB9,AB12,AB14:AB15)</f>
        <v>-39.04362500000002</v>
      </c>
      <c r="D21" s="2" t="s">
        <v>25</v>
      </c>
      <c r="E21" s="2" t="s">
        <v>38</v>
      </c>
      <c r="F21" s="2">
        <f>AVERAGE(R10,R11,R13,R16,AB10,AB11,AB13,AB16)-AVERAGE(R9,R12,R14,R15,AB9,AB12,AB14,AB15)</f>
        <v>-39.04362500000002</v>
      </c>
      <c r="G21" s="2" t="s">
        <v>25</v>
      </c>
      <c r="H21" s="2" t="s">
        <v>40</v>
      </c>
      <c r="I21" s="18">
        <f>AVERAGE(R10,R11,R13,R16,AB10,AB11,AB13,AB16)-AVERAGE(R9,R12,R14,R15,AB9,AB12,AB14,AB15)</f>
        <v>-39.04362500000002</v>
      </c>
    </row>
    <row r="22" spans="1:36" x14ac:dyDescent="0.55000000000000004">
      <c r="A22" s="12" t="s">
        <v>36</v>
      </c>
      <c r="B22" s="2" t="s">
        <v>24</v>
      </c>
      <c r="C22" s="11">
        <f>C20/2</f>
        <v>7.9296875</v>
      </c>
      <c r="D22" s="2" t="s">
        <v>36</v>
      </c>
      <c r="E22" s="2" t="s">
        <v>38</v>
      </c>
      <c r="F22" s="2">
        <f>F20/2</f>
        <v>-15.40756250000004</v>
      </c>
      <c r="G22" s="2" t="s">
        <v>36</v>
      </c>
      <c r="H22" s="2" t="s">
        <v>40</v>
      </c>
      <c r="I22" s="18">
        <f>I20/2</f>
        <v>-38.976812500000023</v>
      </c>
    </row>
    <row r="23" spans="1:36" x14ac:dyDescent="0.55000000000000004">
      <c r="A23" s="12" t="s">
        <v>37</v>
      </c>
      <c r="B23" s="2" t="s">
        <v>24</v>
      </c>
      <c r="C23" s="11">
        <f>C21/2</f>
        <v>-19.52181250000001</v>
      </c>
      <c r="D23" s="2" t="s">
        <v>37</v>
      </c>
      <c r="E23" s="2" t="s">
        <v>39</v>
      </c>
      <c r="F23" s="2">
        <f>F21/2</f>
        <v>-19.52181250000001</v>
      </c>
      <c r="G23" s="2" t="s">
        <v>37</v>
      </c>
      <c r="H23" s="2" t="s">
        <v>40</v>
      </c>
      <c r="I23" s="18">
        <f>I21/2</f>
        <v>-19.52181250000001</v>
      </c>
    </row>
    <row r="24" spans="1:36" x14ac:dyDescent="0.55000000000000004">
      <c r="A24" s="63" t="s">
        <v>47</v>
      </c>
      <c r="B24" s="64"/>
      <c r="C24" s="64"/>
      <c r="D24" s="64"/>
      <c r="E24" s="64"/>
      <c r="F24" s="64"/>
      <c r="G24" s="64"/>
      <c r="H24" s="64"/>
      <c r="I24" s="65"/>
      <c r="J24" s="17"/>
      <c r="K24" s="17"/>
      <c r="L24" s="17"/>
    </row>
    <row r="25" spans="1:36" x14ac:dyDescent="0.55000000000000004">
      <c r="A25" s="66" t="s">
        <v>8</v>
      </c>
      <c r="B25" s="67"/>
      <c r="C25" s="67"/>
      <c r="D25" s="67" t="s">
        <v>46</v>
      </c>
      <c r="E25" s="67"/>
      <c r="F25" s="67"/>
      <c r="G25" s="67" t="s">
        <v>9</v>
      </c>
      <c r="H25" s="67"/>
      <c r="I25" s="68"/>
    </row>
    <row r="26" spans="1:36" x14ac:dyDescent="0.55000000000000004">
      <c r="A26" s="12" t="s">
        <v>21</v>
      </c>
      <c r="B26" s="2" t="s">
        <v>22</v>
      </c>
      <c r="C26" s="11">
        <f>AVERAGE(Q9:Q16,AA9:AA16)</f>
        <v>63.640162500000002</v>
      </c>
      <c r="D26" s="2" t="s">
        <v>21</v>
      </c>
      <c r="E26" s="10" t="s">
        <v>22</v>
      </c>
      <c r="F26" s="11">
        <f>AVERAGE(Q9:Q16,AA9:AA16)</f>
        <v>63.640162500000002</v>
      </c>
      <c r="G26" s="2" t="s">
        <v>21</v>
      </c>
      <c r="H26" s="10" t="s">
        <v>22</v>
      </c>
      <c r="I26" s="18">
        <f>AVERAGE(Q9:Q16,AA9:AA16)</f>
        <v>63.640162500000002</v>
      </c>
    </row>
    <row r="27" spans="1:36" x14ac:dyDescent="0.55000000000000004">
      <c r="A27" s="12" t="s">
        <v>23</v>
      </c>
      <c r="B27" s="2" t="s">
        <v>24</v>
      </c>
      <c r="C27" s="11">
        <f>AVERAGE(Q10,Q12,Q15:Q16,AA10,AA12,AA15:AA16)-AVERAGE(Q9,Q11,Q13:Q14,AA9,AA11,AA13:AA14)</f>
        <v>1.2054500000000132</v>
      </c>
      <c r="D27" s="2" t="s">
        <v>23</v>
      </c>
      <c r="E27" s="10" t="s">
        <v>38</v>
      </c>
      <c r="F27" s="11">
        <f>AVERAGE(Q11:Q12,Q14,Q16,AA11:AA12,AA14,AA16)-AVERAGE(Q9:Q10,Q13,Q15,AA9:AA10,AA13,AA15)</f>
        <v>1.3440749999999966</v>
      </c>
      <c r="G27" s="2" t="s">
        <v>23</v>
      </c>
      <c r="H27" s="10" t="s">
        <v>40</v>
      </c>
      <c r="I27" s="18">
        <f>AVERAGE(Q13:Q16,AA13:AA16)-AVERAGE(Q9:Q12,AA9:AA12)</f>
        <v>-0.21532500000000709</v>
      </c>
    </row>
    <row r="28" spans="1:36" x14ac:dyDescent="0.55000000000000004">
      <c r="A28" s="12" t="s">
        <v>25</v>
      </c>
      <c r="B28" s="2" t="s">
        <v>24</v>
      </c>
      <c r="C28" s="11">
        <f>AVERAGE(Q10:Q11,Q13,Q16,AA10:AA11,AA13,AA16)-AVERAGE(Q9,Q12,Q14:Q15,AA9,AA12,AA14:AA15)</f>
        <v>2.0608000000000075</v>
      </c>
      <c r="D28" s="2" t="s">
        <v>25</v>
      </c>
      <c r="E28" s="2" t="s">
        <v>38</v>
      </c>
      <c r="F28" s="11">
        <f>AVERAGE(Q10:Q11,Q13,Q16,AA10:AA11,AA13,AA16)-AVERAGE(Q9,Q12,Q14:Q15,AA9,AA12,AA14:AA15)</f>
        <v>2.0608000000000075</v>
      </c>
      <c r="G28" s="2" t="s">
        <v>25</v>
      </c>
      <c r="H28" s="2" t="s">
        <v>40</v>
      </c>
      <c r="I28" s="18">
        <f>AVERAGE(Q10,Q11,Q13,Q16,AA10:AA11,AA13,AA16)-AVERAGE(Q9,Q12,Q14:Q15,AA9,AA12,AA14:AA15)</f>
        <v>2.0608000000000075</v>
      </c>
    </row>
    <row r="29" spans="1:36" x14ac:dyDescent="0.55000000000000004">
      <c r="A29" s="12" t="s">
        <v>36</v>
      </c>
      <c r="B29" s="2" t="s">
        <v>24</v>
      </c>
      <c r="C29" s="11">
        <f>C27/2</f>
        <v>0.60272500000000662</v>
      </c>
      <c r="D29" s="2" t="s">
        <v>36</v>
      </c>
      <c r="E29" s="2" t="s">
        <v>38</v>
      </c>
      <c r="F29" s="11">
        <f>F27/2</f>
        <v>0.67203749999999829</v>
      </c>
      <c r="G29" s="2" t="s">
        <v>36</v>
      </c>
      <c r="H29" s="2" t="s">
        <v>40</v>
      </c>
      <c r="I29" s="18">
        <f>I27/2</f>
        <v>-0.10766250000000355</v>
      </c>
    </row>
    <row r="30" spans="1:36" x14ac:dyDescent="0.55000000000000004">
      <c r="A30" s="12" t="s">
        <v>37</v>
      </c>
      <c r="B30" s="2" t="s">
        <v>24</v>
      </c>
      <c r="C30" s="11">
        <f>C28/2</f>
        <v>1.0304000000000038</v>
      </c>
      <c r="D30" s="2" t="s">
        <v>37</v>
      </c>
      <c r="E30" s="2" t="s">
        <v>39</v>
      </c>
      <c r="F30" s="11">
        <f>F28/2</f>
        <v>1.0304000000000038</v>
      </c>
      <c r="G30" s="2" t="s">
        <v>37</v>
      </c>
      <c r="H30" s="2" t="s">
        <v>40</v>
      </c>
      <c r="I30" s="18">
        <f>I28/2</f>
        <v>1.0304000000000038</v>
      </c>
    </row>
    <row r="31" spans="1:36" x14ac:dyDescent="0.55000000000000004">
      <c r="A31" s="63" t="s">
        <v>48</v>
      </c>
      <c r="B31" s="64"/>
      <c r="C31" s="64"/>
      <c r="D31" s="64"/>
      <c r="E31" s="64"/>
      <c r="F31" s="64"/>
      <c r="G31" s="64"/>
      <c r="H31" s="64"/>
      <c r="I31" s="65"/>
      <c r="J31" s="17"/>
      <c r="K31" s="17"/>
      <c r="L31" s="17"/>
    </row>
    <row r="32" spans="1:36" x14ac:dyDescent="0.55000000000000004">
      <c r="A32" s="66" t="s">
        <v>8</v>
      </c>
      <c r="B32" s="67"/>
      <c r="C32" s="67"/>
      <c r="D32" s="67" t="s">
        <v>46</v>
      </c>
      <c r="E32" s="67"/>
      <c r="F32" s="67"/>
      <c r="G32" s="67" t="s">
        <v>9</v>
      </c>
      <c r="H32" s="67"/>
      <c r="I32" s="68"/>
    </row>
    <row r="33" spans="1:18" x14ac:dyDescent="0.55000000000000004">
      <c r="A33" s="12" t="s">
        <v>21</v>
      </c>
      <c r="B33" s="2" t="s">
        <v>22</v>
      </c>
      <c r="C33" s="11">
        <f>AVERAGE(O9:O16,Y9:Y16)</f>
        <v>69</v>
      </c>
      <c r="D33" s="2" t="s">
        <v>21</v>
      </c>
      <c r="E33" s="10" t="s">
        <v>22</v>
      </c>
      <c r="F33" s="11">
        <f>AVERAGE(O9:O16,Y9:Y16)</f>
        <v>69</v>
      </c>
      <c r="G33" s="2" t="s">
        <v>21</v>
      </c>
      <c r="H33" s="10" t="s">
        <v>22</v>
      </c>
      <c r="I33" s="18">
        <f>AVERAGE(O9:O16,Y9:Y16)</f>
        <v>69</v>
      </c>
    </row>
    <row r="34" spans="1:18" x14ac:dyDescent="0.55000000000000004">
      <c r="A34" s="12" t="s">
        <v>23</v>
      </c>
      <c r="B34" s="2" t="s">
        <v>24</v>
      </c>
      <c r="C34" s="11">
        <f>AVERAGE(O10,O12,O15:O16,Y10,Y12,Y15:Y16)-AVERAGE(O9,O11,O13:O14,Y9,Y11,Y13:Y14)</f>
        <v>-0.75</v>
      </c>
      <c r="D34" s="2" t="s">
        <v>23</v>
      </c>
      <c r="E34" s="10" t="s">
        <v>38</v>
      </c>
      <c r="F34" s="11">
        <f>AVERAGE(O11:O12,O14,O16,Y11:Y12,Y14,Y16)-AVERAGE(O9:O10,O13,O15,Y9:Y10,Y13,Y15)</f>
        <v>-4.75</v>
      </c>
      <c r="G34" s="2" t="s">
        <v>23</v>
      </c>
      <c r="H34" s="10" t="s">
        <v>40</v>
      </c>
      <c r="I34" s="18">
        <f>AVERAGE(O13:O16,Y13:Y16)-AVERAGE(O9:O12,Y9:Y12)</f>
        <v>5</v>
      </c>
    </row>
    <row r="35" spans="1:18" x14ac:dyDescent="0.55000000000000004">
      <c r="A35" s="12" t="s">
        <v>25</v>
      </c>
      <c r="B35" s="2" t="s">
        <v>24</v>
      </c>
      <c r="C35" s="11">
        <f>AVERAGE(O10,O11,O13,O16,Y10,Y11,Y13,Y16)-AVERAGE(O9,O12,O14:O15,Y9,Y12,Y14:Y15)</f>
        <v>-6.5</v>
      </c>
      <c r="D35" s="2" t="s">
        <v>25</v>
      </c>
      <c r="E35" s="2" t="s">
        <v>38</v>
      </c>
      <c r="F35" s="11">
        <f>AVERAGE(Y10,Y11,Y13,Y16,O10,O11,O13,O16)-AVERAGE(O9,O12,O14:O15,Y9,Y12,Y14:Y15)</f>
        <v>-6.5</v>
      </c>
      <c r="G35" s="2" t="s">
        <v>25</v>
      </c>
      <c r="H35" s="2" t="s">
        <v>40</v>
      </c>
      <c r="I35" s="18">
        <f>AVERAGE(O10:O11,O13,O16,Y10:Y11,Y13,Y16)-AVERAGE(O9,O12,O14:O15,Y9,Y12,Y14:Y15)</f>
        <v>-6.5</v>
      </c>
    </row>
    <row r="36" spans="1:18" x14ac:dyDescent="0.55000000000000004">
      <c r="A36" s="12" t="s">
        <v>36</v>
      </c>
      <c r="B36" s="2" t="s">
        <v>24</v>
      </c>
      <c r="C36" s="11">
        <f>C34/2</f>
        <v>-0.375</v>
      </c>
      <c r="D36" s="2" t="s">
        <v>36</v>
      </c>
      <c r="E36" s="2" t="s">
        <v>38</v>
      </c>
      <c r="F36" s="11">
        <f>F34/2</f>
        <v>-2.375</v>
      </c>
      <c r="G36" s="2" t="s">
        <v>36</v>
      </c>
      <c r="H36" s="2" t="s">
        <v>40</v>
      </c>
      <c r="I36" s="18">
        <f>I34/2</f>
        <v>2.5</v>
      </c>
    </row>
    <row r="37" spans="1:18" x14ac:dyDescent="0.55000000000000004">
      <c r="A37" s="14" t="s">
        <v>37</v>
      </c>
      <c r="B37" s="15" t="s">
        <v>24</v>
      </c>
      <c r="C37" s="19">
        <f>C35/2</f>
        <v>-3.25</v>
      </c>
      <c r="D37" s="15" t="s">
        <v>37</v>
      </c>
      <c r="E37" s="15" t="s">
        <v>39</v>
      </c>
      <c r="F37" s="19">
        <f>F35/2</f>
        <v>-3.25</v>
      </c>
      <c r="G37" s="15" t="s">
        <v>37</v>
      </c>
      <c r="H37" s="15" t="s">
        <v>40</v>
      </c>
      <c r="I37" s="20">
        <f>I35/2</f>
        <v>-3.25</v>
      </c>
    </row>
    <row r="40" spans="1:18" x14ac:dyDescent="0.55000000000000004">
      <c r="A40" s="69" t="s">
        <v>56</v>
      </c>
      <c r="B40" s="70"/>
      <c r="C40" s="70"/>
      <c r="D40" s="70"/>
      <c r="E40" s="70"/>
      <c r="F40" s="71"/>
      <c r="H40" s="69" t="s">
        <v>80</v>
      </c>
      <c r="I40" s="70"/>
      <c r="J40" s="70"/>
      <c r="K40" s="70"/>
      <c r="L40" s="70"/>
      <c r="M40" s="70"/>
      <c r="N40" s="70"/>
      <c r="O40" s="70"/>
      <c r="P40" s="70"/>
      <c r="Q40" s="70"/>
      <c r="R40" s="71"/>
    </row>
    <row r="41" spans="1:18" x14ac:dyDescent="0.55000000000000004">
      <c r="A41" s="12" t="s">
        <v>59</v>
      </c>
      <c r="B41" s="2"/>
      <c r="C41" s="2" t="s">
        <v>60</v>
      </c>
      <c r="D41" s="2"/>
      <c r="E41" s="2" t="s">
        <v>61</v>
      </c>
      <c r="F41" s="13"/>
      <c r="H41" s="12" t="s">
        <v>13</v>
      </c>
      <c r="I41" s="2"/>
      <c r="J41" s="2"/>
      <c r="K41" s="2"/>
      <c r="L41" s="2"/>
      <c r="M41" s="2"/>
      <c r="N41" s="2"/>
      <c r="O41" s="2"/>
      <c r="P41" s="2"/>
      <c r="Q41" s="2"/>
      <c r="R41" s="13"/>
    </row>
    <row r="42" spans="1:18" x14ac:dyDescent="0.55000000000000004">
      <c r="A42" s="12" t="s">
        <v>57</v>
      </c>
      <c r="B42" s="2">
        <f>AVERAGE(R9:R16,AB9:AB16)</f>
        <v>447.99831250000005</v>
      </c>
      <c r="C42" s="2" t="s">
        <v>62</v>
      </c>
      <c r="D42" s="2">
        <f>AVERAGE(R9:R16,AB9:AB16)</f>
        <v>447.99831250000005</v>
      </c>
      <c r="E42" s="2" t="s">
        <v>64</v>
      </c>
      <c r="F42" s="13">
        <f>AVERAGE(R9:R16,AB9:AB16)</f>
        <v>447.99831250000005</v>
      </c>
      <c r="H42" s="12" t="s">
        <v>73</v>
      </c>
      <c r="I42" s="2">
        <f>B42</f>
        <v>447.99831250000005</v>
      </c>
      <c r="J42" s="2" t="s">
        <v>76</v>
      </c>
      <c r="K42" s="2">
        <f>B43</f>
        <v>15.859375</v>
      </c>
      <c r="L42" s="2" t="s">
        <v>70</v>
      </c>
      <c r="M42" s="2" t="s">
        <v>76</v>
      </c>
      <c r="N42" s="2">
        <f>B44</f>
        <v>-30.81512500000008</v>
      </c>
      <c r="O42" s="2" t="s">
        <v>71</v>
      </c>
      <c r="P42" s="2" t="s">
        <v>76</v>
      </c>
      <c r="Q42" s="2">
        <f>B45</f>
        <v>-11.173312500000009</v>
      </c>
      <c r="R42" s="13" t="s">
        <v>72</v>
      </c>
    </row>
    <row r="43" spans="1:18" x14ac:dyDescent="0.55000000000000004">
      <c r="A43" s="12" t="s">
        <v>66</v>
      </c>
      <c r="B43" s="2">
        <f>AVERAGE(R10,R12,R15:R16,AB10,AB12,AB15:AB16)-AVERAGE(R9,R11,R13:R14,AB9,AB11,AB13:AB14)</f>
        <v>15.859375</v>
      </c>
      <c r="C43" s="2" t="s">
        <v>66</v>
      </c>
      <c r="D43" s="2">
        <f>AVERAGE(R10,R12,R15:R16,AB10,AB12,AB15:AB16)-AVERAGE(R9,R11,R13:R14,AB9,AB11,AB13:AB14)</f>
        <v>15.859375</v>
      </c>
      <c r="E43" s="2" t="s">
        <v>69</v>
      </c>
      <c r="F43" s="13">
        <f>AVERAGE(R11:R12,R14,R16,AB11:AB12,AB14,AB16)-AVERAGE(R9:R10,R13,R15,AB9:AB10,AB13,AB15)</f>
        <v>-30.81512500000008</v>
      </c>
      <c r="H43" s="12" t="s">
        <v>74</v>
      </c>
      <c r="I43" s="2">
        <f>D42</f>
        <v>447.99831250000005</v>
      </c>
      <c r="J43" s="2" t="s">
        <v>76</v>
      </c>
      <c r="K43" s="2">
        <f>D43</f>
        <v>15.859375</v>
      </c>
      <c r="L43" s="2" t="s">
        <v>70</v>
      </c>
      <c r="M43" s="2" t="s">
        <v>76</v>
      </c>
      <c r="N43" s="2">
        <f>D44</f>
        <v>-77.953625000000045</v>
      </c>
      <c r="O43" s="2" t="s">
        <v>77</v>
      </c>
      <c r="P43" s="2" t="s">
        <v>76</v>
      </c>
      <c r="Q43" s="2">
        <f>D45</f>
        <v>72.497687499999984</v>
      </c>
      <c r="R43" s="13" t="s">
        <v>78</v>
      </c>
    </row>
    <row r="44" spans="1:18" x14ac:dyDescent="0.55000000000000004">
      <c r="A44" s="12" t="s">
        <v>67</v>
      </c>
      <c r="B44" s="2">
        <f>AVERAGE(R11:R12,R14,R16,AB11:AB12,AB14,AB16)-AVERAGE(R9:R10,R13,R15,AB9:AB10,AB13,AB15)</f>
        <v>-30.81512500000008</v>
      </c>
      <c r="C44" s="2" t="s">
        <v>68</v>
      </c>
      <c r="D44" s="2">
        <f>AVERAGE(R13:R16,AB13:AB16)-AVERAGE(R9:R12,AB9:AB12)</f>
        <v>-77.953625000000045</v>
      </c>
      <c r="E44" s="2" t="s">
        <v>68</v>
      </c>
      <c r="F44" s="13">
        <f>AVERAGE(R13:R16,AB13:AB16)-AVERAGE(R9:R12,AB9:AB12)</f>
        <v>-77.953625000000045</v>
      </c>
      <c r="H44" s="12" t="s">
        <v>75</v>
      </c>
      <c r="I44" s="2">
        <f>F42</f>
        <v>447.99831250000005</v>
      </c>
      <c r="J44" s="2" t="s">
        <v>76</v>
      </c>
      <c r="K44" s="2">
        <f>F43</f>
        <v>-30.81512500000008</v>
      </c>
      <c r="L44" s="2" t="s">
        <v>71</v>
      </c>
      <c r="M44" s="2" t="s">
        <v>76</v>
      </c>
      <c r="N44" s="2">
        <f>F44</f>
        <v>-77.953625000000045</v>
      </c>
      <c r="O44" s="2" t="s">
        <v>77</v>
      </c>
      <c r="P44" s="2" t="s">
        <v>76</v>
      </c>
      <c r="Q44" s="2">
        <f>F45</f>
        <v>7.253437500000075</v>
      </c>
      <c r="R44" s="13" t="s">
        <v>79</v>
      </c>
    </row>
    <row r="45" spans="1:18" x14ac:dyDescent="0.55000000000000004">
      <c r="A45" s="12" t="s">
        <v>58</v>
      </c>
      <c r="B45" s="2">
        <f>AVERAGE(R9,R12:R13,R16,AC9,AC12:AC13,AC16)-AVERAGE(R10:R11,R14:R15,AC10:AC11,AC14:AC15)</f>
        <v>-11.173312500000009</v>
      </c>
      <c r="C45" s="2" t="s">
        <v>63</v>
      </c>
      <c r="D45" s="2">
        <f>AVERAGE(R9,R11,R15:R16,AC9,AC11,AC15:AC16)-AVERAGE(R10,R12:R14,AC10,AC12:AC14)</f>
        <v>72.497687499999984</v>
      </c>
      <c r="E45" s="2" t="s">
        <v>63</v>
      </c>
      <c r="F45" s="13">
        <f>AVERAGE(R9:R10,R14,R16,AC9:AC10,AC14,AC16)-AVERAGE(R11:R13,R15,AC11:AC13,AC15)</f>
        <v>7.253437500000075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13"/>
    </row>
    <row r="46" spans="1:18" x14ac:dyDescent="0.55000000000000004">
      <c r="A46" s="12"/>
      <c r="B46" s="2"/>
      <c r="C46" s="2"/>
      <c r="D46" s="2"/>
      <c r="E46" s="2"/>
      <c r="F46" s="13"/>
      <c r="H46" s="12"/>
      <c r="I46" s="2"/>
      <c r="J46" s="2"/>
      <c r="K46" s="2"/>
      <c r="L46" s="2"/>
      <c r="M46" s="2"/>
      <c r="N46" s="2"/>
      <c r="O46" s="2"/>
      <c r="P46" s="2"/>
      <c r="Q46" s="2"/>
      <c r="R46" s="13"/>
    </row>
    <row r="47" spans="1:18" x14ac:dyDescent="0.55000000000000004">
      <c r="A47" s="66" t="s">
        <v>65</v>
      </c>
      <c r="B47" s="67"/>
      <c r="C47" s="67"/>
      <c r="D47" s="67"/>
      <c r="E47" s="67"/>
      <c r="F47" s="68"/>
      <c r="H47" s="12"/>
      <c r="I47" s="2"/>
      <c r="J47" s="2"/>
      <c r="K47" s="2"/>
      <c r="L47" s="2"/>
      <c r="M47" s="2"/>
      <c r="N47" s="2"/>
      <c r="O47" s="2"/>
      <c r="P47" s="2"/>
      <c r="Q47" s="2"/>
      <c r="R47" s="13"/>
    </row>
    <row r="48" spans="1:18" x14ac:dyDescent="0.55000000000000004">
      <c r="A48" s="12" t="s">
        <v>59</v>
      </c>
      <c r="B48" s="2"/>
      <c r="C48" s="2" t="s">
        <v>60</v>
      </c>
      <c r="D48" s="2"/>
      <c r="E48" s="2" t="s">
        <v>61</v>
      </c>
      <c r="F48" s="13"/>
      <c r="H48" s="12" t="s">
        <v>81</v>
      </c>
      <c r="I48" s="2"/>
      <c r="J48" s="2"/>
      <c r="K48" s="2"/>
      <c r="L48" s="2"/>
      <c r="M48" s="2"/>
      <c r="N48" s="2"/>
      <c r="O48" s="2"/>
      <c r="P48" s="2"/>
      <c r="Q48" s="2"/>
      <c r="R48" s="13"/>
    </row>
    <row r="49" spans="1:18" x14ac:dyDescent="0.55000000000000004">
      <c r="A49" s="12" t="s">
        <v>57</v>
      </c>
      <c r="B49" s="2">
        <f>AVERAGE(Q9:Q16,AA9:AA16)</f>
        <v>63.640162500000002</v>
      </c>
      <c r="C49" s="2" t="s">
        <v>62</v>
      </c>
      <c r="D49" s="2">
        <f>AVERAGE(Q9:Q16,AA9:AA16)</f>
        <v>63.640162500000002</v>
      </c>
      <c r="E49" s="2" t="s">
        <v>64</v>
      </c>
      <c r="F49" s="13">
        <f>AVERAGE(Q9:Q16,AA9:AA16)</f>
        <v>63.640162500000002</v>
      </c>
      <c r="H49" s="12" t="s">
        <v>73</v>
      </c>
      <c r="I49" s="2">
        <f>B49</f>
        <v>63.640162500000002</v>
      </c>
      <c r="J49" s="2" t="s">
        <v>76</v>
      </c>
      <c r="K49" s="2">
        <f>B50</f>
        <v>1.2054500000000132</v>
      </c>
      <c r="L49" s="2" t="s">
        <v>70</v>
      </c>
      <c r="M49" s="2" t="s">
        <v>76</v>
      </c>
      <c r="N49" s="2">
        <f>B51</f>
        <v>1.3440749999999966</v>
      </c>
      <c r="O49" s="2" t="s">
        <v>71</v>
      </c>
      <c r="P49" s="2" t="s">
        <v>76</v>
      </c>
      <c r="Q49" s="2">
        <f>B52</f>
        <v>-2.4645500000000027</v>
      </c>
      <c r="R49" s="13" t="s">
        <v>72</v>
      </c>
    </row>
    <row r="50" spans="1:18" x14ac:dyDescent="0.55000000000000004">
      <c r="A50" s="12" t="s">
        <v>66</v>
      </c>
      <c r="B50" s="2">
        <f>AVERAGE(Q10,Q12,Q15:Q16,AA10,AA12,AA15:AA16)-AVERAGE(Q9,Q11,Q13:Q14,AA9,AA11,AA13:AA14)</f>
        <v>1.2054500000000132</v>
      </c>
      <c r="C50" s="2" t="s">
        <v>66</v>
      </c>
      <c r="D50" s="2">
        <f>AVERAGE(Q10,Q12,Q15:Q16,AA10,AA12,AA15:AA16)-AVERAGE(Q9,Q11,Q13:Q14,AA9,AA11,AA13:AA14)</f>
        <v>1.2054500000000132</v>
      </c>
      <c r="E50" s="2" t="s">
        <v>69</v>
      </c>
      <c r="F50" s="13">
        <f>AVERAGE(Q11:Q12,Q14,Q16,AA11:AA12,AA14,AA16)-AVERAGE(Q9:Q10,Q13,Q15,AA9:AA10,AA13,AA15)</f>
        <v>1.3440749999999966</v>
      </c>
      <c r="H50" s="12" t="s">
        <v>74</v>
      </c>
      <c r="I50" s="2">
        <f>D49</f>
        <v>63.640162500000002</v>
      </c>
      <c r="J50" s="2" t="s">
        <v>76</v>
      </c>
      <c r="K50" s="2">
        <f>D50</f>
        <v>1.2054500000000132</v>
      </c>
      <c r="L50" s="2" t="s">
        <v>70</v>
      </c>
      <c r="M50" s="2" t="s">
        <v>76</v>
      </c>
      <c r="N50" s="2">
        <f>D51</f>
        <v>-0.21532500000000709</v>
      </c>
      <c r="O50" s="2" t="s">
        <v>77</v>
      </c>
      <c r="P50" s="2" t="s">
        <v>76</v>
      </c>
      <c r="Q50" s="2">
        <f>D52</f>
        <v>-2.4442000000000235</v>
      </c>
      <c r="R50" s="13" t="s">
        <v>78</v>
      </c>
    </row>
    <row r="51" spans="1:18" x14ac:dyDescent="0.55000000000000004">
      <c r="A51" s="12" t="s">
        <v>67</v>
      </c>
      <c r="B51" s="2">
        <f>AVERAGE(Q11:Q12,Q14,Q16,AA11:AA12,AA14,AA16)-AVERAGE(Q9:Q10,Q13,Q15,AA9:AA10,AA13,AA15)</f>
        <v>1.3440749999999966</v>
      </c>
      <c r="C51" s="2" t="s">
        <v>68</v>
      </c>
      <c r="D51" s="2">
        <f>AVERAGE(Q13:Q16,AA13:AA16)-AVERAGE(Q9:Q12,AA9:AA12)</f>
        <v>-0.21532500000000709</v>
      </c>
      <c r="E51" s="2" t="s">
        <v>68</v>
      </c>
      <c r="F51" s="13">
        <f>AVERAGE(Q13:Q16,AA13:AA16)-AVERAGE(Q9:Q12,AA9:AA12)</f>
        <v>-0.21532500000000709</v>
      </c>
      <c r="H51" s="12" t="s">
        <v>75</v>
      </c>
      <c r="I51" s="2">
        <f>F49</f>
        <v>63.640162500000002</v>
      </c>
      <c r="J51" s="2" t="s">
        <v>76</v>
      </c>
      <c r="K51" s="2">
        <f>F50</f>
        <v>1.3440749999999966</v>
      </c>
      <c r="L51" s="2" t="s">
        <v>71</v>
      </c>
      <c r="M51" s="2" t="s">
        <v>76</v>
      </c>
      <c r="N51" s="2">
        <f>F51</f>
        <v>-0.21532500000000709</v>
      </c>
      <c r="O51" s="2" t="s">
        <v>77</v>
      </c>
      <c r="P51" s="2" t="s">
        <v>76</v>
      </c>
      <c r="Q51" s="2">
        <f>F52</f>
        <v>7.3425000000007401E-2</v>
      </c>
      <c r="R51" s="13" t="s">
        <v>79</v>
      </c>
    </row>
    <row r="52" spans="1:18" x14ac:dyDescent="0.55000000000000004">
      <c r="A52" s="12" t="s">
        <v>58</v>
      </c>
      <c r="B52" s="2">
        <f>AVERAGE(Q9,Q12:Q13,Q16,AA9,AA12:AA13,AA16)-AVERAGE(Q10:Q11,Q14:Q15,AA10:AA11,AA14:AA15)</f>
        <v>-2.4645500000000027</v>
      </c>
      <c r="C52" s="2" t="s">
        <v>63</v>
      </c>
      <c r="D52" s="2">
        <f>AVERAGE(Q9,Q11,Q15:Q16,AA9,AA11,AA15:AA16)-AVERAGE(Q10,Q12:Q14,AA10,AA12:AA14)</f>
        <v>-2.4442000000000235</v>
      </c>
      <c r="E52" s="2" t="s">
        <v>63</v>
      </c>
      <c r="F52" s="13">
        <f>AVERAGE(Q9:Q10,Q14,Q16,AA9:AA10,AA14,AA16)-AVERAGE(Q11:Q13,Q15,AA11:AA13,AA15)</f>
        <v>7.3425000000007401E-2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13"/>
    </row>
    <row r="53" spans="1:18" x14ac:dyDescent="0.55000000000000004">
      <c r="A53" s="12"/>
      <c r="B53" s="2"/>
      <c r="C53" s="2"/>
      <c r="D53" s="2"/>
      <c r="E53" s="2"/>
      <c r="F53" s="13"/>
      <c r="H53" s="12"/>
      <c r="I53" s="2"/>
      <c r="J53" s="2"/>
      <c r="K53" s="2"/>
      <c r="L53" s="2"/>
      <c r="M53" s="2"/>
      <c r="N53" s="2"/>
      <c r="O53" s="2"/>
      <c r="P53" s="2"/>
      <c r="Q53" s="2"/>
      <c r="R53" s="13"/>
    </row>
    <row r="54" spans="1:18" x14ac:dyDescent="0.55000000000000004">
      <c r="A54" s="66" t="s">
        <v>48</v>
      </c>
      <c r="B54" s="67"/>
      <c r="C54" s="67"/>
      <c r="D54" s="67"/>
      <c r="E54" s="67"/>
      <c r="F54" s="68"/>
      <c r="H54" s="12"/>
      <c r="I54" s="2"/>
      <c r="J54" s="2"/>
      <c r="K54" s="2"/>
      <c r="L54" s="2"/>
      <c r="M54" s="2"/>
      <c r="N54" s="2"/>
      <c r="O54" s="2"/>
      <c r="P54" s="2"/>
      <c r="Q54" s="2"/>
      <c r="R54" s="13"/>
    </row>
    <row r="55" spans="1:18" x14ac:dyDescent="0.55000000000000004">
      <c r="A55" s="12" t="s">
        <v>59</v>
      </c>
      <c r="B55" s="2"/>
      <c r="C55" s="2" t="s">
        <v>60</v>
      </c>
      <c r="D55" s="2"/>
      <c r="E55" s="2" t="s">
        <v>61</v>
      </c>
      <c r="F55" s="13"/>
      <c r="H55" s="12" t="s">
        <v>48</v>
      </c>
      <c r="I55" s="2"/>
      <c r="J55" s="2"/>
      <c r="K55" s="2"/>
      <c r="L55" s="2"/>
      <c r="M55" s="2"/>
      <c r="N55" s="2"/>
      <c r="O55" s="2"/>
      <c r="P55" s="2"/>
      <c r="Q55" s="2"/>
      <c r="R55" s="13"/>
    </row>
    <row r="56" spans="1:18" x14ac:dyDescent="0.55000000000000004">
      <c r="A56" s="12" t="s">
        <v>57</v>
      </c>
      <c r="B56" s="2">
        <f>AVERAGE(O9:O16,Y9:Y16)</f>
        <v>69</v>
      </c>
      <c r="C56" s="2" t="s">
        <v>62</v>
      </c>
      <c r="D56" s="2">
        <f>AVERAGE(O9:O16,Y9:Y16)</f>
        <v>69</v>
      </c>
      <c r="E56" s="2" t="s">
        <v>64</v>
      </c>
      <c r="F56" s="13">
        <f>AVERAGE(O9:O16,Y9:Y16)</f>
        <v>69</v>
      </c>
      <c r="H56" s="12" t="s">
        <v>73</v>
      </c>
      <c r="I56" s="2">
        <f>B56</f>
        <v>69</v>
      </c>
      <c r="J56" s="2" t="s">
        <v>76</v>
      </c>
      <c r="K56" s="2">
        <f>B57</f>
        <v>-0.75</v>
      </c>
      <c r="L56" s="2" t="s">
        <v>70</v>
      </c>
      <c r="M56" s="2" t="s">
        <v>76</v>
      </c>
      <c r="N56" s="2">
        <f>B58</f>
        <v>-4.75</v>
      </c>
      <c r="O56" s="2" t="s">
        <v>71</v>
      </c>
      <c r="P56" s="2" t="s">
        <v>76</v>
      </c>
      <c r="Q56" s="2">
        <f>B59</f>
        <v>2</v>
      </c>
      <c r="R56" s="13" t="s">
        <v>72</v>
      </c>
    </row>
    <row r="57" spans="1:18" x14ac:dyDescent="0.55000000000000004">
      <c r="A57" s="12" t="s">
        <v>66</v>
      </c>
      <c r="B57" s="2">
        <f>AVERAGE(O10,O12,O15:O16,Y10,Y12,Y15:Y16)-AVERAGE(O9,O11,O13:O14,Y9,Y11,Y13:Y14)</f>
        <v>-0.75</v>
      </c>
      <c r="C57" s="2" t="s">
        <v>66</v>
      </c>
      <c r="D57" s="2">
        <f>AVERAGE(O10,O12,O15:O16,Y10,Y12,Y15:Y16)-AVERAGE(O9,O11,O13:O14,Y9,Y11,Y13:Y14)</f>
        <v>-0.75</v>
      </c>
      <c r="E57" s="2" t="s">
        <v>69</v>
      </c>
      <c r="F57" s="13">
        <f>AVERAGE(O11:O12,O14,O16,Y11:Y12,Y14,Y16)-AVERAGE(O9:O10,O13,O15,Y9:Y10,Y13,Y15)</f>
        <v>-4.75</v>
      </c>
      <c r="H57" s="12" t="s">
        <v>74</v>
      </c>
      <c r="I57" s="2">
        <f>D56</f>
        <v>69</v>
      </c>
      <c r="J57" s="2" t="s">
        <v>76</v>
      </c>
      <c r="K57" s="2">
        <f>D57</f>
        <v>-0.75</v>
      </c>
      <c r="L57" s="2" t="s">
        <v>70</v>
      </c>
      <c r="M57" s="2" t="s">
        <v>76</v>
      </c>
      <c r="N57" s="2">
        <f>D58</f>
        <v>5</v>
      </c>
      <c r="O57" s="2" t="s">
        <v>77</v>
      </c>
      <c r="P57" s="2" t="s">
        <v>76</v>
      </c>
      <c r="Q57" s="2">
        <f>D59</f>
        <v>2.75</v>
      </c>
      <c r="R57" s="13" t="s">
        <v>78</v>
      </c>
    </row>
    <row r="58" spans="1:18" x14ac:dyDescent="0.55000000000000004">
      <c r="A58" s="12" t="s">
        <v>67</v>
      </c>
      <c r="B58" s="2">
        <f>AVERAGE(O11:O12,O14,O16,Y11:Y12,Y14,Y16)-AVERAGE(O9:O10,O13,O15,Y9:Y10,Y13,Y15)</f>
        <v>-4.75</v>
      </c>
      <c r="C58" s="2" t="s">
        <v>68</v>
      </c>
      <c r="D58" s="2">
        <f>AVERAGE(O13:O16,Y13:Y16)-AVERAGE(O9:O12,Y9:Y12)</f>
        <v>5</v>
      </c>
      <c r="E58" s="2" t="s">
        <v>68</v>
      </c>
      <c r="F58" s="13">
        <f>AVERAGE(O13:O16,Y13:Y16)-AVERAGE(O9:O12,Y9:Y12)</f>
        <v>5</v>
      </c>
      <c r="H58" s="14" t="s">
        <v>75</v>
      </c>
      <c r="I58" s="15">
        <f>F56</f>
        <v>69</v>
      </c>
      <c r="J58" s="15" t="s">
        <v>76</v>
      </c>
      <c r="K58" s="15">
        <f>F57</f>
        <v>-4.75</v>
      </c>
      <c r="L58" s="15" t="s">
        <v>71</v>
      </c>
      <c r="M58" s="15" t="s">
        <v>76</v>
      </c>
      <c r="N58" s="15">
        <f>F58</f>
        <v>5</v>
      </c>
      <c r="O58" s="15" t="s">
        <v>77</v>
      </c>
      <c r="P58" s="15" t="s">
        <v>76</v>
      </c>
      <c r="Q58" s="15">
        <f>F59</f>
        <v>-3.75</v>
      </c>
      <c r="R58" s="16" t="s">
        <v>79</v>
      </c>
    </row>
    <row r="59" spans="1:18" x14ac:dyDescent="0.55000000000000004">
      <c r="A59" s="14" t="s">
        <v>58</v>
      </c>
      <c r="B59" s="15">
        <f>AVERAGE(O9,O12:O13,O16,Y9,Y12:Y13,Y16)-AVERAGE(O10:O11,O14:O15,Y10:Y11,Y14:Y15)</f>
        <v>2</v>
      </c>
      <c r="C59" s="15" t="s">
        <v>63</v>
      </c>
      <c r="D59" s="15">
        <f>AVERAGE(O9,O11,O15:O16,Y9,Y11,Y15:Y16)-AVERAGE(O10,O12:O14,Y10,Y12:Y14)</f>
        <v>2.75</v>
      </c>
      <c r="E59" s="15" t="s">
        <v>63</v>
      </c>
      <c r="F59" s="16">
        <f>AVERAGE(O9:O10,O14,O16,Y9:Y10,Y14,Y16)-AVERAGE(O11:O13,O15,Y11:Y13,Y15)</f>
        <v>-3.75</v>
      </c>
    </row>
  </sheetData>
  <mergeCells count="16">
    <mergeCell ref="A54:F54"/>
    <mergeCell ref="A47:F47"/>
    <mergeCell ref="A40:F40"/>
    <mergeCell ref="H40:R40"/>
    <mergeCell ref="A32:C32"/>
    <mergeCell ref="G32:I32"/>
    <mergeCell ref="D32:F32"/>
    <mergeCell ref="A17:I17"/>
    <mergeCell ref="A31:I31"/>
    <mergeCell ref="A18:C18"/>
    <mergeCell ref="G18:I18"/>
    <mergeCell ref="A25:C25"/>
    <mergeCell ref="G25:I25"/>
    <mergeCell ref="D18:F18"/>
    <mergeCell ref="D25:F25"/>
    <mergeCell ref="A24:I2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1"/>
  <sheetViews>
    <sheetView zoomScale="80" zoomScaleNormal="80" workbookViewId="0">
      <selection activeCell="A13" sqref="A13:XFD13"/>
    </sheetView>
  </sheetViews>
  <sheetFormatPr defaultRowHeight="14.1" x14ac:dyDescent="0.5"/>
  <cols>
    <col min="1" max="1" width="13.15625" style="21" bestFit="1" customWidth="1"/>
    <col min="2" max="2" width="4.89453125" style="21" bestFit="1" customWidth="1"/>
    <col min="3" max="3" width="7.15625" style="21" customWidth="1"/>
    <col min="4" max="4" width="9.1015625" style="21" customWidth="1"/>
    <col min="5" max="5" width="10.68359375" style="21" customWidth="1"/>
    <col min="6" max="6" width="5" style="21" customWidth="1"/>
    <col min="7" max="7" width="9.68359375" style="21" customWidth="1"/>
    <col min="8" max="8" width="19.05078125" style="21" bestFit="1" customWidth="1"/>
    <col min="9" max="9" width="8.41796875" style="21" customWidth="1"/>
    <col min="10" max="10" width="5.47265625" style="21" customWidth="1"/>
    <col min="11" max="18" width="8.83984375" style="21" customWidth="1"/>
    <col min="19" max="20" width="13.15625" style="21" customWidth="1"/>
    <col min="21" max="27" width="8.83984375" style="21" customWidth="1"/>
    <col min="28" max="31" width="8.83984375" style="21"/>
    <col min="32" max="32" width="11.578125" style="21" bestFit="1" customWidth="1"/>
    <col min="33" max="40" width="8.83984375" style="21"/>
    <col min="41" max="41" width="10.68359375" style="21" bestFit="1" customWidth="1"/>
    <col min="42" max="16384" width="8.83984375" style="21"/>
  </cols>
  <sheetData>
    <row r="1" spans="1:47" x14ac:dyDescent="0.5">
      <c r="A1" s="21" t="s">
        <v>4</v>
      </c>
    </row>
    <row r="2" spans="1:47" x14ac:dyDescent="0.5">
      <c r="A2" s="21" t="s">
        <v>0</v>
      </c>
      <c r="B2" s="21" t="s">
        <v>5</v>
      </c>
      <c r="C2" s="21">
        <v>25</v>
      </c>
    </row>
    <row r="3" spans="1:47" x14ac:dyDescent="0.5">
      <c r="A3" s="21" t="s">
        <v>1</v>
      </c>
      <c r="B3" s="21" t="s">
        <v>5</v>
      </c>
      <c r="C3" s="21">
        <v>26</v>
      </c>
    </row>
    <row r="4" spans="1:47" x14ac:dyDescent="0.5">
      <c r="A4" s="21" t="s">
        <v>2</v>
      </c>
      <c r="B4" s="21" t="s">
        <v>5</v>
      </c>
      <c r="C4" s="21">
        <v>77</v>
      </c>
    </row>
    <row r="5" spans="1:47" x14ac:dyDescent="0.5">
      <c r="A5" s="21" t="s">
        <v>3</v>
      </c>
      <c r="B5" s="21" t="s">
        <v>5</v>
      </c>
      <c r="C5" s="21">
        <v>237</v>
      </c>
    </row>
    <row r="7" spans="1:47" x14ac:dyDescent="0.5">
      <c r="J7" s="43"/>
      <c r="K7" s="22" t="s">
        <v>17</v>
      </c>
      <c r="L7" s="22"/>
      <c r="M7" s="22"/>
      <c r="N7" s="22"/>
      <c r="O7" s="22"/>
      <c r="P7" s="22"/>
      <c r="Q7" s="22"/>
      <c r="R7" s="22"/>
      <c r="S7" s="22"/>
      <c r="T7" s="23"/>
      <c r="U7" s="23"/>
      <c r="V7" s="23" t="s">
        <v>16</v>
      </c>
      <c r="W7" s="23"/>
      <c r="X7" s="23"/>
      <c r="Y7" s="23"/>
      <c r="Z7" s="23"/>
      <c r="AA7" s="23"/>
      <c r="AB7" s="23"/>
      <c r="AC7" s="23"/>
      <c r="AD7" s="23"/>
      <c r="AE7" s="24" t="s">
        <v>85</v>
      </c>
      <c r="AF7" s="24"/>
      <c r="AG7" s="24"/>
      <c r="AH7" s="25" t="s">
        <v>48</v>
      </c>
      <c r="AI7" s="25"/>
      <c r="AJ7" s="25"/>
      <c r="AK7" s="26" t="s">
        <v>82</v>
      </c>
      <c r="AL7" s="26"/>
      <c r="AM7" s="26"/>
      <c r="AN7" s="27" t="s">
        <v>12</v>
      </c>
      <c r="AO7" s="27"/>
      <c r="AP7" s="27"/>
      <c r="AQ7" s="21" t="s">
        <v>102</v>
      </c>
    </row>
    <row r="8" spans="1:47" ht="16.5" x14ac:dyDescent="0.7">
      <c r="A8" s="21" t="s">
        <v>15</v>
      </c>
      <c r="B8" s="21" t="s">
        <v>6</v>
      </c>
      <c r="C8" s="21" t="s">
        <v>8</v>
      </c>
      <c r="D8" s="21" t="s">
        <v>7</v>
      </c>
      <c r="E8" s="21" t="s">
        <v>9</v>
      </c>
      <c r="F8" s="21" t="s">
        <v>87</v>
      </c>
      <c r="G8" s="21" t="s">
        <v>88</v>
      </c>
      <c r="H8" s="21" t="s">
        <v>89</v>
      </c>
      <c r="I8" s="21" t="s">
        <v>90</v>
      </c>
      <c r="J8" s="21" t="s">
        <v>27</v>
      </c>
      <c r="K8" s="21" t="s">
        <v>28</v>
      </c>
      <c r="L8" s="21" t="s">
        <v>30</v>
      </c>
      <c r="M8" s="21" t="s">
        <v>43</v>
      </c>
      <c r="N8" s="21" t="s">
        <v>29</v>
      </c>
      <c r="O8" s="21" t="s">
        <v>45</v>
      </c>
      <c r="P8" s="21" t="s">
        <v>12</v>
      </c>
      <c r="Q8" s="21" t="s">
        <v>83</v>
      </c>
      <c r="R8" s="21" t="s">
        <v>13</v>
      </c>
      <c r="S8" s="21" t="s">
        <v>85</v>
      </c>
      <c r="T8" s="21" t="s">
        <v>44</v>
      </c>
      <c r="U8" s="21" t="s">
        <v>41</v>
      </c>
      <c r="V8" s="21" t="s">
        <v>14</v>
      </c>
      <c r="W8" s="21" t="s">
        <v>31</v>
      </c>
      <c r="X8" s="21" t="s">
        <v>43</v>
      </c>
      <c r="Y8" s="21" t="s">
        <v>11</v>
      </c>
      <c r="Z8" s="21" t="s">
        <v>48</v>
      </c>
      <c r="AA8" s="21" t="s">
        <v>12</v>
      </c>
      <c r="AB8" s="21" t="s">
        <v>83</v>
      </c>
      <c r="AC8" s="21" t="s">
        <v>13</v>
      </c>
      <c r="AD8" s="21" t="s">
        <v>85</v>
      </c>
      <c r="AE8" s="21" t="s">
        <v>18</v>
      </c>
      <c r="AF8" s="21" t="s">
        <v>19</v>
      </c>
      <c r="AG8" s="21" t="s">
        <v>86</v>
      </c>
      <c r="AH8" s="21" t="s">
        <v>18</v>
      </c>
      <c r="AI8" s="21" t="s">
        <v>19</v>
      </c>
      <c r="AJ8" s="21" t="s">
        <v>86</v>
      </c>
      <c r="AK8" s="21" t="s">
        <v>18</v>
      </c>
      <c r="AL8" s="21" t="s">
        <v>19</v>
      </c>
      <c r="AM8" s="21" t="s">
        <v>86</v>
      </c>
      <c r="AN8" s="21" t="s">
        <v>18</v>
      </c>
      <c r="AO8" s="21" t="s">
        <v>19</v>
      </c>
      <c r="AP8" s="21" t="s">
        <v>86</v>
      </c>
      <c r="AQ8" s="21" t="s">
        <v>18</v>
      </c>
      <c r="AR8" s="21" t="s">
        <v>19</v>
      </c>
      <c r="AS8" s="21" t="s">
        <v>86</v>
      </c>
      <c r="AT8" s="21" t="s">
        <v>100</v>
      </c>
      <c r="AU8" s="21" t="s">
        <v>101</v>
      </c>
    </row>
    <row r="9" spans="1:47" x14ac:dyDescent="0.5">
      <c r="A9" s="28">
        <v>43211.081944444442</v>
      </c>
      <c r="B9" s="21">
        <v>1</v>
      </c>
      <c r="C9" s="21">
        <v>-1</v>
      </c>
      <c r="D9" s="21">
        <v>-1</v>
      </c>
      <c r="E9" s="21">
        <v>-1</v>
      </c>
      <c r="F9" s="21">
        <f>C9*D9</f>
        <v>1</v>
      </c>
      <c r="G9" s="21">
        <f>C9*E9</f>
        <v>1</v>
      </c>
      <c r="H9" s="21">
        <f>D9*E9</f>
        <v>1</v>
      </c>
      <c r="I9" s="21">
        <f>C9*D9*E9</f>
        <v>-1</v>
      </c>
      <c r="J9" s="21">
        <v>513</v>
      </c>
      <c r="K9" s="21">
        <v>256</v>
      </c>
      <c r="L9" s="21" t="s">
        <v>35</v>
      </c>
      <c r="M9" s="21">
        <v>77</v>
      </c>
      <c r="N9" s="21">
        <v>247</v>
      </c>
      <c r="O9" s="21">
        <f>(J9-K9)-(N9-M9)</f>
        <v>87</v>
      </c>
      <c r="P9" s="21">
        <v>0.27</v>
      </c>
      <c r="Q9" s="21">
        <v>0.35937999999999998</v>
      </c>
      <c r="R9" s="21">
        <v>619.596</v>
      </c>
      <c r="S9" s="21">
        <f t="shared" ref="S9:S16" si="0">O9/R9</f>
        <v>0.14041407626905272</v>
      </c>
      <c r="T9" s="29">
        <v>43202.181250000001</v>
      </c>
      <c r="U9" s="21">
        <v>512</v>
      </c>
      <c r="V9" s="21">
        <v>268</v>
      </c>
      <c r="W9" s="21" t="s">
        <v>42</v>
      </c>
      <c r="X9" s="21">
        <v>25</v>
      </c>
      <c r="Y9" s="21">
        <v>210</v>
      </c>
      <c r="Z9" s="21">
        <f>(U9-V9)-(Y9-X9)</f>
        <v>59</v>
      </c>
      <c r="AA9" s="21">
        <v>0.26</v>
      </c>
      <c r="AB9" s="21">
        <v>0.38</v>
      </c>
      <c r="AC9" s="21">
        <v>446.14800000000002</v>
      </c>
      <c r="AD9" s="21">
        <f t="shared" ref="AD9:AD16" si="1">Z9/AC9</f>
        <v>0.13224311215112472</v>
      </c>
      <c r="AE9" s="21">
        <f>AVERAGE(S9,AD9)</f>
        <v>0.13632859421008872</v>
      </c>
      <c r="AF9" s="21">
        <f>((S9-AE9)^2+(AD9-AE9)^2)/(2-1)</f>
        <v>3.3382327308233481E-5</v>
      </c>
      <c r="AG9" s="21">
        <f>SQRT(AF9)</f>
        <v>5.7777441366188486E-3</v>
      </c>
      <c r="AH9" s="21">
        <f t="shared" ref="AH9:AH16" si="2">AVERAGE(O9,Z9)</f>
        <v>73</v>
      </c>
      <c r="AI9" s="21">
        <f t="shared" ref="AI9:AI16" si="3">((O9-AH9)^2+(Z9-AH9)^2)/(2-1)</f>
        <v>392</v>
      </c>
      <c r="AJ9" s="21">
        <f>SQRT(AI9)</f>
        <v>19.798989873223331</v>
      </c>
      <c r="AK9" s="21">
        <f t="shared" ref="AK9:AK16" si="4">AVERAGE(Q9,AB9)</f>
        <v>0.36968999999999996</v>
      </c>
      <c r="AL9" s="21">
        <f t="shared" ref="AL9:AL16" si="5">((Q9-AK9)^2+(AB9-AK9)^2)/(2-1)</f>
        <v>2.1259220000000056E-4</v>
      </c>
      <c r="AM9" s="21">
        <f>SQRT(AL9)</f>
        <v>1.458054182806663E-2</v>
      </c>
      <c r="AN9" s="21">
        <f t="shared" ref="AN9:AN16" si="6">AVERAGE(P9,AA9)</f>
        <v>0.26500000000000001</v>
      </c>
      <c r="AO9" s="21">
        <f t="shared" ref="AO9:AO16" si="7">((P9-AN9)^2+(AA9-AN9)^2)/(2-1)</f>
        <v>5.000000000000009E-5</v>
      </c>
      <c r="AP9" s="21">
        <f>SQRT(AO9)</f>
        <v>7.0710678118654814E-3</v>
      </c>
      <c r="AQ9" s="21">
        <f>AVERAGE(AT9:AU9)</f>
        <v>2.0538333333333333E-3</v>
      </c>
      <c r="AR9" s="21">
        <f>((AT9-AQ9)^2+(AU9-AQ9)^2)/(2-1)</f>
        <v>6.5614876543210517E-9</v>
      </c>
      <c r="AS9" s="21">
        <f>SQRT(AR9)</f>
        <v>8.100301015592601E-5</v>
      </c>
      <c r="AT9" s="21">
        <f>Q9/180</f>
        <v>1.9965555555555552E-3</v>
      </c>
      <c r="AU9" s="21">
        <f>AB9/180</f>
        <v>2.1111111111111113E-3</v>
      </c>
    </row>
    <row r="10" spans="1:47" x14ac:dyDescent="0.5">
      <c r="A10" s="29">
        <v>43211.094444444447</v>
      </c>
      <c r="B10" s="21">
        <v>2</v>
      </c>
      <c r="C10" s="21">
        <v>1</v>
      </c>
      <c r="D10" s="21">
        <v>-1</v>
      </c>
      <c r="E10" s="21">
        <v>-1</v>
      </c>
      <c r="F10" s="21">
        <f t="shared" ref="F10:F16" si="8">C10*D10</f>
        <v>-1</v>
      </c>
      <c r="G10" s="21">
        <f t="shared" ref="G10:G16" si="9">C10*E10</f>
        <v>-1</v>
      </c>
      <c r="H10" s="21">
        <f t="shared" ref="H10:H16" si="10">D10*E10</f>
        <v>1</v>
      </c>
      <c r="I10" s="21">
        <f t="shared" ref="I10:I16" si="11">C10*D10*E10</f>
        <v>1</v>
      </c>
      <c r="J10" s="21">
        <v>521</v>
      </c>
      <c r="K10" s="21">
        <v>261</v>
      </c>
      <c r="L10" s="21" t="s">
        <v>0</v>
      </c>
      <c r="M10" s="21">
        <v>25</v>
      </c>
      <c r="N10" s="21">
        <v>220</v>
      </c>
      <c r="O10" s="21">
        <f t="shared" ref="O10:O16" si="12">(J10-K10)-(N10-M10)</f>
        <v>65</v>
      </c>
      <c r="P10" s="21">
        <v>0.28000000000000003</v>
      </c>
      <c r="Q10" s="21">
        <v>0.61630099999999999</v>
      </c>
      <c r="R10" s="21">
        <v>426.81900000000002</v>
      </c>
      <c r="S10" s="21">
        <f t="shared" si="0"/>
        <v>0.15228937793303485</v>
      </c>
      <c r="T10" s="29">
        <v>43211.166666666664</v>
      </c>
      <c r="U10" s="21">
        <v>516</v>
      </c>
      <c r="V10" s="21">
        <v>271</v>
      </c>
      <c r="W10" s="21" t="s">
        <v>42</v>
      </c>
      <c r="X10" s="21">
        <v>25</v>
      </c>
      <c r="Y10" s="21">
        <v>213</v>
      </c>
      <c r="Z10" s="21">
        <f t="shared" ref="Z10:Z16" si="13">(U10-V10)-(Y10-X10)</f>
        <v>57</v>
      </c>
      <c r="AA10" s="21">
        <f>0.27</f>
        <v>0.27</v>
      </c>
      <c r="AB10" s="21">
        <v>0.55000000000000004</v>
      </c>
      <c r="AC10" s="21">
        <v>537.67200000000003</v>
      </c>
      <c r="AD10" s="21">
        <f t="shared" si="1"/>
        <v>0.10601258759987502</v>
      </c>
      <c r="AE10" s="21">
        <f t="shared" ref="AE10:AE16" si="14">AVERAGE(S10,AD10)</f>
        <v>0.12915098276645492</v>
      </c>
      <c r="AF10" s="21">
        <f t="shared" ref="AF10:AF16" si="15">((S10-AE10)^2+(AD10-AE10)^2)/(2-1)</f>
        <v>1.0707706617696176E-3</v>
      </c>
      <c r="AG10" s="21">
        <f t="shared" ref="AG10:AG16" si="16">SQRT(AF10)</f>
        <v>3.2722632256125386E-2</v>
      </c>
      <c r="AH10" s="21">
        <f t="shared" si="2"/>
        <v>61</v>
      </c>
      <c r="AI10" s="21">
        <f t="shared" si="3"/>
        <v>32</v>
      </c>
      <c r="AJ10" s="21">
        <f t="shared" ref="AJ10:AJ16" si="17">SQRT(AI10)</f>
        <v>5.6568542494923806</v>
      </c>
      <c r="AK10" s="21">
        <f t="shared" si="4"/>
        <v>0.58315050000000002</v>
      </c>
      <c r="AL10" s="21">
        <f t="shared" si="5"/>
        <v>2.1979113004999963E-3</v>
      </c>
      <c r="AM10" s="21">
        <f t="shared" ref="AM10:AM16" si="18">SQRT(AL10)</f>
        <v>4.6881886699449246E-2</v>
      </c>
      <c r="AN10" s="21">
        <f t="shared" si="6"/>
        <v>0.27500000000000002</v>
      </c>
      <c r="AO10" s="21">
        <f t="shared" si="7"/>
        <v>5.000000000000009E-5</v>
      </c>
      <c r="AP10" s="21">
        <f t="shared" ref="AP10:AP16" si="19">SQRT(AO10)</f>
        <v>7.0710678118654814E-3</v>
      </c>
      <c r="AQ10" s="21">
        <f t="shared" ref="AQ10:AQ16" si="20">AVERAGE(AT10:AU10)</f>
        <v>3.2397249999999997E-3</v>
      </c>
      <c r="AR10" s="21">
        <f t="shared" ref="AR10:AR16" si="21">((AT10-AQ10)^2+(AU10-AQ10)^2)/(2-1)</f>
        <v>6.7836768533950452E-8</v>
      </c>
      <c r="AS10" s="21">
        <f t="shared" ref="AS10:AS16" si="22">SQRT(AR10)</f>
        <v>2.6045492610805127E-4</v>
      </c>
      <c r="AT10" s="21">
        <f t="shared" ref="AT10:AT16" si="23">Q10/180</f>
        <v>3.4238944444444442E-3</v>
      </c>
      <c r="AU10" s="21">
        <f t="shared" ref="AU10:AU16" si="24">AB10/180</f>
        <v>3.0555555555555557E-3</v>
      </c>
    </row>
    <row r="11" spans="1:47" x14ac:dyDescent="0.5">
      <c r="A11" s="29">
        <v>43210.19027777778</v>
      </c>
      <c r="B11" s="21">
        <v>3</v>
      </c>
      <c r="C11" s="21">
        <v>-1</v>
      </c>
      <c r="D11" s="21">
        <v>1</v>
      </c>
      <c r="E11" s="21">
        <v>-1</v>
      </c>
      <c r="F11" s="21">
        <f t="shared" si="8"/>
        <v>-1</v>
      </c>
      <c r="G11" s="21">
        <f t="shared" si="9"/>
        <v>1</v>
      </c>
      <c r="H11" s="21">
        <f t="shared" si="10"/>
        <v>-1</v>
      </c>
      <c r="I11" s="21">
        <f t="shared" si="11"/>
        <v>1</v>
      </c>
      <c r="J11" s="21">
        <v>513</v>
      </c>
      <c r="K11" s="21">
        <v>243</v>
      </c>
      <c r="L11" s="21" t="s">
        <v>0</v>
      </c>
      <c r="M11" s="21">
        <v>25</v>
      </c>
      <c r="N11" s="21">
        <v>222</v>
      </c>
      <c r="O11" s="21">
        <f t="shared" si="12"/>
        <v>73</v>
      </c>
      <c r="P11" s="21">
        <v>0.28000000000000003</v>
      </c>
      <c r="Q11" s="21">
        <v>0.27482000000000001</v>
      </c>
      <c r="R11" s="21">
        <v>541.125</v>
      </c>
      <c r="S11" s="21">
        <f t="shared" si="0"/>
        <v>0.13490413490413491</v>
      </c>
      <c r="U11" s="21">
        <v>508</v>
      </c>
      <c r="V11" s="21">
        <v>246</v>
      </c>
      <c r="W11" s="21" t="s">
        <v>42</v>
      </c>
      <c r="X11" s="21">
        <v>25</v>
      </c>
      <c r="Y11" s="21">
        <v>233</v>
      </c>
      <c r="Z11" s="21">
        <f t="shared" si="13"/>
        <v>54</v>
      </c>
      <c r="AA11" s="21">
        <v>0.28000000000000003</v>
      </c>
      <c r="AB11" s="21">
        <v>0.29607</v>
      </c>
      <c r="AC11" s="21">
        <v>376.97800000000001</v>
      </c>
      <c r="AD11" s="21">
        <f t="shared" si="1"/>
        <v>0.14324443336215906</v>
      </c>
      <c r="AE11" s="21">
        <f t="shared" si="14"/>
        <v>0.13907428413314699</v>
      </c>
      <c r="AF11" s="21">
        <f t="shared" si="15"/>
        <v>3.4780289184459943E-5</v>
      </c>
      <c r="AG11" s="21">
        <f t="shared" si="16"/>
        <v>5.8974815967885773E-3</v>
      </c>
      <c r="AH11" s="21">
        <f t="shared" si="2"/>
        <v>63.5</v>
      </c>
      <c r="AI11" s="21">
        <f t="shared" si="3"/>
        <v>180.5</v>
      </c>
      <c r="AJ11" s="21">
        <f t="shared" si="17"/>
        <v>13.435028842544403</v>
      </c>
      <c r="AK11" s="21">
        <f t="shared" si="4"/>
        <v>0.285445</v>
      </c>
      <c r="AL11" s="21">
        <f t="shared" si="5"/>
        <v>2.257812499999998E-4</v>
      </c>
      <c r="AM11" s="21">
        <f t="shared" si="18"/>
        <v>1.5026019100214128E-2</v>
      </c>
      <c r="AN11" s="21">
        <f t="shared" si="6"/>
        <v>0.28000000000000003</v>
      </c>
      <c r="AO11" s="21">
        <f t="shared" si="7"/>
        <v>0</v>
      </c>
      <c r="AP11" s="21">
        <f t="shared" si="19"/>
        <v>0</v>
      </c>
      <c r="AQ11" s="21">
        <f t="shared" si="20"/>
        <v>1.5858055555555556E-3</v>
      </c>
      <c r="AR11" s="21">
        <f t="shared" si="21"/>
        <v>6.96855709876545E-9</v>
      </c>
      <c r="AS11" s="21">
        <f t="shared" si="22"/>
        <v>8.3477883890078629E-5</v>
      </c>
      <c r="AT11" s="21">
        <f t="shared" si="23"/>
        <v>1.5267777777777777E-3</v>
      </c>
      <c r="AU11" s="21">
        <f t="shared" si="24"/>
        <v>1.6448333333333334E-3</v>
      </c>
    </row>
    <row r="12" spans="1:47" x14ac:dyDescent="0.5">
      <c r="A12" s="29">
        <v>43211.058333333334</v>
      </c>
      <c r="B12" s="21">
        <v>4</v>
      </c>
      <c r="C12" s="21">
        <v>1</v>
      </c>
      <c r="D12" s="21">
        <v>1</v>
      </c>
      <c r="E12" s="21">
        <v>-1</v>
      </c>
      <c r="F12" s="21">
        <f t="shared" si="8"/>
        <v>1</v>
      </c>
      <c r="G12" s="21">
        <f t="shared" si="9"/>
        <v>-1</v>
      </c>
      <c r="H12" s="21">
        <f t="shared" si="10"/>
        <v>-1</v>
      </c>
      <c r="I12" s="21">
        <f t="shared" si="11"/>
        <v>-1</v>
      </c>
      <c r="J12" s="21">
        <v>510</v>
      </c>
      <c r="K12" s="21">
        <v>250</v>
      </c>
      <c r="L12" s="21" t="s">
        <v>1</v>
      </c>
      <c r="M12" s="21">
        <v>26</v>
      </c>
      <c r="N12" s="21">
        <v>215</v>
      </c>
      <c r="O12" s="21">
        <f t="shared" si="12"/>
        <v>71</v>
      </c>
      <c r="P12" s="21">
        <v>0.27</v>
      </c>
      <c r="Q12" s="21">
        <v>0.59206000000000003</v>
      </c>
      <c r="R12" s="21">
        <v>409.791</v>
      </c>
      <c r="S12" s="21">
        <f t="shared" si="0"/>
        <v>0.17325905156531013</v>
      </c>
      <c r="T12" s="29">
        <v>43211.15625</v>
      </c>
      <c r="U12" s="21">
        <v>506</v>
      </c>
      <c r="V12" s="21">
        <v>252</v>
      </c>
      <c r="W12" s="21" t="s">
        <v>1</v>
      </c>
      <c r="X12" s="21">
        <v>26</v>
      </c>
      <c r="Y12" s="21">
        <v>214</v>
      </c>
      <c r="Z12" s="21">
        <f t="shared" si="13"/>
        <v>66</v>
      </c>
      <c r="AA12" s="21">
        <v>0.27</v>
      </c>
      <c r="AB12" s="21">
        <v>0.35587999999999997</v>
      </c>
      <c r="AC12" s="21">
        <v>537.67200000000003</v>
      </c>
      <c r="AD12" s="21">
        <f t="shared" si="1"/>
        <v>0.1227514172209079</v>
      </c>
      <c r="AE12" s="21">
        <f t="shared" si="14"/>
        <v>0.14800523439310903</v>
      </c>
      <c r="AF12" s="21">
        <f t="shared" si="15"/>
        <v>1.2755105635339197E-3</v>
      </c>
      <c r="AG12" s="21">
        <f t="shared" si="16"/>
        <v>3.5714290746617382E-2</v>
      </c>
      <c r="AH12" s="21">
        <f t="shared" si="2"/>
        <v>68.5</v>
      </c>
      <c r="AI12" s="21">
        <f t="shared" si="3"/>
        <v>12.5</v>
      </c>
      <c r="AJ12" s="21">
        <f t="shared" si="17"/>
        <v>3.5355339059327378</v>
      </c>
      <c r="AK12" s="21">
        <f t="shared" si="4"/>
        <v>0.47397</v>
      </c>
      <c r="AL12" s="21">
        <f t="shared" si="5"/>
        <v>2.7890496200000014E-2</v>
      </c>
      <c r="AM12" s="21">
        <f t="shared" si="18"/>
        <v>0.16700447958063883</v>
      </c>
      <c r="AN12" s="21">
        <f t="shared" si="6"/>
        <v>0.27</v>
      </c>
      <c r="AO12" s="21">
        <f t="shared" si="7"/>
        <v>0</v>
      </c>
      <c r="AP12" s="21">
        <f t="shared" si="19"/>
        <v>0</v>
      </c>
      <c r="AQ12" s="21">
        <f t="shared" si="20"/>
        <v>2.6331666666666665E-3</v>
      </c>
      <c r="AR12" s="21">
        <f t="shared" si="21"/>
        <v>8.6081778395061778E-7</v>
      </c>
      <c r="AS12" s="21">
        <f t="shared" si="22"/>
        <v>9.2780266433688241E-4</v>
      </c>
      <c r="AT12" s="21">
        <f t="shared" si="23"/>
        <v>3.2892222222222225E-3</v>
      </c>
      <c r="AU12" s="21">
        <f t="shared" si="24"/>
        <v>1.9771111111111109E-3</v>
      </c>
    </row>
    <row r="13" spans="1:47" x14ac:dyDescent="0.5">
      <c r="A13" s="29">
        <v>43210.169444444444</v>
      </c>
      <c r="B13" s="21">
        <v>5</v>
      </c>
      <c r="C13" s="21">
        <v>-1</v>
      </c>
      <c r="D13" s="21">
        <v>-1</v>
      </c>
      <c r="E13" s="21">
        <v>1</v>
      </c>
      <c r="F13" s="21">
        <f t="shared" si="8"/>
        <v>1</v>
      </c>
      <c r="G13" s="21">
        <f t="shared" si="9"/>
        <v>-1</v>
      </c>
      <c r="H13" s="21">
        <f t="shared" si="10"/>
        <v>-1</v>
      </c>
      <c r="I13" s="21">
        <f t="shared" si="11"/>
        <v>1</v>
      </c>
      <c r="J13" s="21">
        <v>521</v>
      </c>
      <c r="K13" s="21">
        <v>260</v>
      </c>
      <c r="L13" s="21" t="s">
        <v>0</v>
      </c>
      <c r="M13" s="21">
        <v>25</v>
      </c>
      <c r="N13" s="21">
        <v>210</v>
      </c>
      <c r="O13" s="21">
        <f t="shared" si="12"/>
        <v>76</v>
      </c>
      <c r="P13" s="21">
        <v>0.27</v>
      </c>
      <c r="Q13" s="21">
        <v>0.29603000000000002</v>
      </c>
      <c r="R13" s="21">
        <v>400.90100000000001</v>
      </c>
      <c r="S13" s="21">
        <f t="shared" si="0"/>
        <v>0.18957298684712684</v>
      </c>
      <c r="T13" s="29">
        <v>43211.208333333336</v>
      </c>
      <c r="U13" s="21">
        <v>498</v>
      </c>
      <c r="V13" s="21">
        <v>273</v>
      </c>
      <c r="W13" s="21" t="s">
        <v>1</v>
      </c>
      <c r="X13" s="21">
        <v>26</v>
      </c>
      <c r="Y13" s="21">
        <v>182</v>
      </c>
      <c r="Z13" s="21">
        <f t="shared" si="13"/>
        <v>69</v>
      </c>
      <c r="AA13" s="21">
        <v>0.27</v>
      </c>
      <c r="AB13" s="21">
        <v>0.32</v>
      </c>
      <c r="AC13" s="21">
        <v>342.47899999999998</v>
      </c>
      <c r="AD13" s="21">
        <f t="shared" si="1"/>
        <v>0.20147220705503113</v>
      </c>
      <c r="AE13" s="21">
        <f t="shared" si="14"/>
        <v>0.19552259695107899</v>
      </c>
      <c r="AF13" s="21">
        <f t="shared" si="15"/>
        <v>7.0795720778098938E-5</v>
      </c>
      <c r="AG13" s="21">
        <f t="shared" si="16"/>
        <v>8.4140192998411259E-3</v>
      </c>
      <c r="AH13" s="21">
        <f t="shared" si="2"/>
        <v>72.5</v>
      </c>
      <c r="AI13" s="21">
        <f t="shared" si="3"/>
        <v>24.5</v>
      </c>
      <c r="AJ13" s="21">
        <f t="shared" si="17"/>
        <v>4.9497474683058327</v>
      </c>
      <c r="AK13" s="21">
        <f t="shared" si="4"/>
        <v>0.30801500000000004</v>
      </c>
      <c r="AL13" s="21">
        <f t="shared" si="5"/>
        <v>2.8728044999999983E-4</v>
      </c>
      <c r="AM13" s="21">
        <f t="shared" si="18"/>
        <v>1.6949349545041539E-2</v>
      </c>
      <c r="AN13" s="21">
        <f t="shared" si="6"/>
        <v>0.27</v>
      </c>
      <c r="AO13" s="21">
        <f t="shared" si="7"/>
        <v>0</v>
      </c>
      <c r="AP13" s="21">
        <f t="shared" si="19"/>
        <v>0</v>
      </c>
      <c r="AQ13" s="21">
        <f t="shared" si="20"/>
        <v>1.7111944444444444E-3</v>
      </c>
      <c r="AR13" s="21">
        <f t="shared" si="21"/>
        <v>8.8666805555555526E-9</v>
      </c>
      <c r="AS13" s="21">
        <f t="shared" si="22"/>
        <v>9.4163053028008565E-5</v>
      </c>
      <c r="AT13" s="21">
        <f t="shared" si="23"/>
        <v>1.6446111111111112E-3</v>
      </c>
      <c r="AU13" s="21">
        <f t="shared" si="24"/>
        <v>1.7777777777777779E-3</v>
      </c>
    </row>
    <row r="14" spans="1:47" x14ac:dyDescent="0.5">
      <c r="A14" s="29">
        <v>43210.15347222222</v>
      </c>
      <c r="B14" s="21">
        <v>6</v>
      </c>
      <c r="C14" s="21">
        <v>-1</v>
      </c>
      <c r="D14" s="21">
        <v>1</v>
      </c>
      <c r="E14" s="21">
        <v>1</v>
      </c>
      <c r="F14" s="21">
        <f t="shared" si="8"/>
        <v>-1</v>
      </c>
      <c r="G14" s="21">
        <f t="shared" si="9"/>
        <v>-1</v>
      </c>
      <c r="H14" s="21">
        <f t="shared" si="10"/>
        <v>1</v>
      </c>
      <c r="I14" s="21">
        <f t="shared" si="11"/>
        <v>-1</v>
      </c>
      <c r="J14" s="21">
        <v>514</v>
      </c>
      <c r="K14" s="21">
        <v>243</v>
      </c>
      <c r="L14" s="21" t="s">
        <v>1</v>
      </c>
      <c r="M14" s="21">
        <v>26</v>
      </c>
      <c r="N14" s="21">
        <v>223</v>
      </c>
      <c r="O14" s="21">
        <f t="shared" si="12"/>
        <v>74</v>
      </c>
      <c r="P14" s="21">
        <v>0.27</v>
      </c>
      <c r="Q14" s="21">
        <v>0.28312999999999999</v>
      </c>
      <c r="R14" s="21">
        <v>424.09500000000003</v>
      </c>
      <c r="S14" s="21">
        <f t="shared" si="0"/>
        <v>0.17448920642780508</v>
      </c>
      <c r="T14" s="29">
        <v>43211.229166666664</v>
      </c>
      <c r="U14" s="21">
        <v>502</v>
      </c>
      <c r="V14" s="21">
        <v>251</v>
      </c>
      <c r="W14" s="21" t="s">
        <v>1</v>
      </c>
      <c r="X14" s="21">
        <v>26</v>
      </c>
      <c r="Y14" s="21">
        <v>214</v>
      </c>
      <c r="Z14" s="21">
        <f t="shared" si="13"/>
        <v>63</v>
      </c>
      <c r="AA14" s="21">
        <v>0.27</v>
      </c>
      <c r="AB14" s="21">
        <v>0.24665999999999999</v>
      </c>
      <c r="AC14" s="21">
        <v>369.22699999999998</v>
      </c>
      <c r="AD14" s="21">
        <f t="shared" si="1"/>
        <v>0.17062674181465604</v>
      </c>
      <c r="AE14" s="21">
        <f t="shared" si="14"/>
        <v>0.17255797412123056</v>
      </c>
      <c r="AF14" s="21">
        <f t="shared" si="15"/>
        <v>7.4593164439142869E-6</v>
      </c>
      <c r="AG14" s="21">
        <f t="shared" si="16"/>
        <v>2.731174920050762E-3</v>
      </c>
      <c r="AH14" s="21">
        <f t="shared" si="2"/>
        <v>68.5</v>
      </c>
      <c r="AI14" s="21">
        <f t="shared" si="3"/>
        <v>60.5</v>
      </c>
      <c r="AJ14" s="21">
        <f t="shared" si="17"/>
        <v>7.7781745930520225</v>
      </c>
      <c r="AK14" s="21">
        <f t="shared" si="4"/>
        <v>0.26489499999999999</v>
      </c>
      <c r="AL14" s="21">
        <f t="shared" si="5"/>
        <v>6.6503045000000009E-4</v>
      </c>
      <c r="AM14" s="21">
        <f t="shared" si="18"/>
        <v>2.578818430987339E-2</v>
      </c>
      <c r="AN14" s="21">
        <f t="shared" si="6"/>
        <v>0.27</v>
      </c>
      <c r="AO14" s="21">
        <f t="shared" si="7"/>
        <v>0</v>
      </c>
      <c r="AP14" s="21">
        <f t="shared" si="19"/>
        <v>0</v>
      </c>
      <c r="AQ14" s="21">
        <f t="shared" si="20"/>
        <v>1.4716388888888886E-3</v>
      </c>
      <c r="AR14" s="21">
        <f t="shared" si="21"/>
        <v>2.0525631172839501E-8</v>
      </c>
      <c r="AS14" s="21">
        <f t="shared" si="22"/>
        <v>1.4326769061040768E-4</v>
      </c>
      <c r="AT14" s="21">
        <f t="shared" si="23"/>
        <v>1.5729444444444443E-3</v>
      </c>
      <c r="AU14" s="21">
        <f t="shared" si="24"/>
        <v>1.3703333333333332E-3</v>
      </c>
    </row>
    <row r="15" spans="1:47" x14ac:dyDescent="0.5">
      <c r="A15" s="29">
        <v>43210.085416666669</v>
      </c>
      <c r="B15" s="21">
        <v>7</v>
      </c>
      <c r="C15" s="21">
        <v>1</v>
      </c>
      <c r="D15" s="21">
        <v>-1</v>
      </c>
      <c r="E15" s="21">
        <v>1</v>
      </c>
      <c r="F15" s="21">
        <f t="shared" si="8"/>
        <v>-1</v>
      </c>
      <c r="G15" s="21">
        <f t="shared" si="9"/>
        <v>1</v>
      </c>
      <c r="H15" s="21">
        <f t="shared" si="10"/>
        <v>-1</v>
      </c>
      <c r="I15" s="21">
        <f t="shared" si="11"/>
        <v>-1</v>
      </c>
      <c r="J15" s="21">
        <v>520</v>
      </c>
      <c r="K15" s="21">
        <v>285</v>
      </c>
      <c r="L15" s="21" t="s">
        <v>0</v>
      </c>
      <c r="M15" s="21">
        <v>25</v>
      </c>
      <c r="N15" s="21">
        <v>168</v>
      </c>
      <c r="O15" s="21">
        <f t="shared" si="12"/>
        <v>92</v>
      </c>
      <c r="P15" s="21">
        <v>0.26</v>
      </c>
      <c r="Q15" s="21">
        <v>0.34111999999999998</v>
      </c>
      <c r="R15" s="21">
        <v>523.80499999999995</v>
      </c>
      <c r="S15" s="21">
        <f t="shared" si="0"/>
        <v>0.17563788050896806</v>
      </c>
      <c r="T15" s="29">
        <v>43211.270833333336</v>
      </c>
      <c r="U15" s="21">
        <v>510</v>
      </c>
      <c r="V15" s="21">
        <v>269</v>
      </c>
      <c r="W15" s="21" t="s">
        <v>42</v>
      </c>
      <c r="X15" s="21">
        <v>25</v>
      </c>
      <c r="Y15" s="21">
        <v>200</v>
      </c>
      <c r="Z15" s="21">
        <f t="shared" si="13"/>
        <v>66</v>
      </c>
      <c r="AA15" s="21">
        <v>0.27</v>
      </c>
      <c r="AB15" s="21">
        <v>0.31640000000000001</v>
      </c>
      <c r="AC15" s="21">
        <v>409.827</v>
      </c>
      <c r="AD15" s="21">
        <f t="shared" si="1"/>
        <v>0.1610435622835977</v>
      </c>
      <c r="AE15" s="21">
        <f t="shared" si="14"/>
        <v>0.16834072139628287</v>
      </c>
      <c r="AF15" s="21">
        <f t="shared" si="15"/>
        <v>1.0649706223168867E-4</v>
      </c>
      <c r="AG15" s="21">
        <f t="shared" si="16"/>
        <v>1.03197413839538E-2</v>
      </c>
      <c r="AH15" s="21">
        <f t="shared" si="2"/>
        <v>79</v>
      </c>
      <c r="AI15" s="21">
        <f t="shared" si="3"/>
        <v>338</v>
      </c>
      <c r="AJ15" s="21">
        <f t="shared" si="17"/>
        <v>18.384776310850235</v>
      </c>
      <c r="AK15" s="21">
        <f t="shared" si="4"/>
        <v>0.32876</v>
      </c>
      <c r="AL15" s="21">
        <f t="shared" si="5"/>
        <v>3.0553919999999911E-4</v>
      </c>
      <c r="AM15" s="21">
        <f t="shared" si="18"/>
        <v>1.747967963093143E-2</v>
      </c>
      <c r="AN15" s="21">
        <f t="shared" si="6"/>
        <v>0.26500000000000001</v>
      </c>
      <c r="AO15" s="21">
        <f t="shared" si="7"/>
        <v>5.000000000000009E-5</v>
      </c>
      <c r="AP15" s="21">
        <f t="shared" si="19"/>
        <v>7.0710678118654814E-3</v>
      </c>
      <c r="AQ15" s="21">
        <f t="shared" si="20"/>
        <v>1.8264444444444443E-3</v>
      </c>
      <c r="AR15" s="21">
        <f t="shared" si="21"/>
        <v>9.4302222222222142E-9</v>
      </c>
      <c r="AS15" s="21">
        <f t="shared" si="22"/>
        <v>9.7109331282952481E-5</v>
      </c>
      <c r="AT15" s="21">
        <f t="shared" si="23"/>
        <v>1.8951111111111111E-3</v>
      </c>
      <c r="AU15" s="21">
        <f t="shared" si="24"/>
        <v>1.7577777777777778E-3</v>
      </c>
    </row>
    <row r="16" spans="1:47" x14ac:dyDescent="0.5">
      <c r="A16" s="30">
        <v>43210.151388888888</v>
      </c>
      <c r="B16" s="21">
        <v>8</v>
      </c>
      <c r="C16" s="21">
        <v>1</v>
      </c>
      <c r="D16" s="21">
        <v>1</v>
      </c>
      <c r="E16" s="21">
        <v>1</v>
      </c>
      <c r="F16" s="21">
        <f t="shared" si="8"/>
        <v>1</v>
      </c>
      <c r="G16" s="21">
        <f t="shared" si="9"/>
        <v>1</v>
      </c>
      <c r="H16" s="21">
        <f t="shared" si="10"/>
        <v>1</v>
      </c>
      <c r="I16" s="21">
        <f t="shared" si="11"/>
        <v>1</v>
      </c>
      <c r="J16" s="21">
        <v>505</v>
      </c>
      <c r="K16" s="21">
        <v>247</v>
      </c>
      <c r="L16" s="21" t="s">
        <v>35</v>
      </c>
      <c r="M16" s="21">
        <v>77</v>
      </c>
      <c r="N16" s="21">
        <v>264</v>
      </c>
      <c r="O16" s="21">
        <f t="shared" si="12"/>
        <v>71</v>
      </c>
      <c r="P16" s="21">
        <v>0.27</v>
      </c>
      <c r="Q16" s="21">
        <v>0.24137</v>
      </c>
      <c r="R16" s="21">
        <v>421.73099999999999</v>
      </c>
      <c r="S16" s="21">
        <f t="shared" si="0"/>
        <v>0.16835376104673358</v>
      </c>
      <c r="T16" s="29">
        <v>43211.244444444441</v>
      </c>
      <c r="U16" s="21">
        <v>505</v>
      </c>
      <c r="V16" s="21">
        <v>249</v>
      </c>
      <c r="W16" s="21" t="s">
        <v>42</v>
      </c>
      <c r="X16" s="21">
        <v>25</v>
      </c>
      <c r="Y16" s="21">
        <v>220</v>
      </c>
      <c r="Z16" s="21">
        <f t="shared" si="13"/>
        <v>61</v>
      </c>
      <c r="AA16" s="21">
        <v>0.27</v>
      </c>
      <c r="AB16" s="21">
        <v>0.24549000000000001</v>
      </c>
      <c r="AC16" s="21">
        <v>380.10700000000003</v>
      </c>
      <c r="AD16" s="21">
        <f t="shared" si="1"/>
        <v>0.16048112768246833</v>
      </c>
      <c r="AE16" s="21">
        <f t="shared" si="14"/>
        <v>0.16441744436460096</v>
      </c>
      <c r="AF16" s="21">
        <f t="shared" si="15"/>
        <v>3.0989178044071169E-5</v>
      </c>
      <c r="AG16" s="21">
        <f t="shared" si="16"/>
        <v>5.5667924376674198E-3</v>
      </c>
      <c r="AH16" s="21">
        <f t="shared" si="2"/>
        <v>66</v>
      </c>
      <c r="AI16" s="21">
        <f t="shared" si="3"/>
        <v>50</v>
      </c>
      <c r="AJ16" s="21">
        <f t="shared" si="17"/>
        <v>7.0710678118654755</v>
      </c>
      <c r="AK16" s="21">
        <f t="shared" si="4"/>
        <v>0.24343000000000001</v>
      </c>
      <c r="AL16" s="21">
        <f t="shared" si="5"/>
        <v>8.4872000000000515E-6</v>
      </c>
      <c r="AM16" s="21">
        <f t="shared" si="18"/>
        <v>2.9132799384885845E-3</v>
      </c>
      <c r="AN16" s="21">
        <f t="shared" si="6"/>
        <v>0.27</v>
      </c>
      <c r="AO16" s="21">
        <f t="shared" si="7"/>
        <v>0</v>
      </c>
      <c r="AP16" s="21">
        <f t="shared" si="19"/>
        <v>0</v>
      </c>
      <c r="AQ16" s="21">
        <f t="shared" si="20"/>
        <v>1.3523888888888891E-3</v>
      </c>
      <c r="AR16" s="21">
        <f t="shared" si="21"/>
        <v>2.619506172839512E-10</v>
      </c>
      <c r="AS16" s="21">
        <f>SQRT(AR16)</f>
        <v>1.6184888547158773E-5</v>
      </c>
      <c r="AT16" s="21">
        <f t="shared" si="23"/>
        <v>1.3409444444444445E-3</v>
      </c>
      <c r="AU16" s="21">
        <f t="shared" si="24"/>
        <v>1.3638333333333334E-3</v>
      </c>
    </row>
    <row r="17" spans="1:44" x14ac:dyDescent="0.5">
      <c r="A17" s="31"/>
      <c r="B17" s="31"/>
      <c r="C17" s="31"/>
      <c r="D17" s="31"/>
      <c r="E17" s="31"/>
      <c r="F17" s="31"/>
      <c r="G17" s="31"/>
      <c r="H17" s="31"/>
      <c r="I17" s="31"/>
      <c r="J17" s="32"/>
      <c r="K17" s="32"/>
      <c r="L17" s="32"/>
      <c r="AE17" s="21" t="s">
        <v>49</v>
      </c>
      <c r="AF17" s="21">
        <f>SUM(AF9:AF16)/8</f>
        <v>3.2877313991175046E-4</v>
      </c>
      <c r="AH17" s="21" t="s">
        <v>49</v>
      </c>
      <c r="AI17" s="21">
        <f>SUM(AI9:AI16)/8</f>
        <v>136.25</v>
      </c>
      <c r="AK17" s="21" t="s">
        <v>49</v>
      </c>
      <c r="AL17" s="21">
        <f>SUM(AL9:AL16)/8</f>
        <v>3.9741397813125006E-3</v>
      </c>
      <c r="AN17" s="21" t="s">
        <v>49</v>
      </c>
      <c r="AO17" s="21">
        <f>SUM(AO9:AO16)/8</f>
        <v>1.8750000000000036E-5</v>
      </c>
      <c r="AQ17" s="21" t="s">
        <v>49</v>
      </c>
      <c r="AR17" s="21">
        <f>SUM(AR9:AR16)/8</f>
        <v>1.2265863522569451E-7</v>
      </c>
    </row>
    <row r="18" spans="1:44" s="34" customFormat="1" x14ac:dyDescent="0.5">
      <c r="A18" s="33"/>
      <c r="B18" s="33"/>
      <c r="C18" s="33"/>
      <c r="D18" s="33"/>
      <c r="E18" s="33"/>
      <c r="F18" s="33"/>
      <c r="G18" s="33"/>
      <c r="H18" s="33"/>
      <c r="I18" s="33"/>
      <c r="AE18" s="34" t="s">
        <v>50</v>
      </c>
      <c r="AF18" s="34">
        <f>SQRT(AF17)</f>
        <v>1.8132102468046845E-2</v>
      </c>
      <c r="AH18" s="34" t="s">
        <v>50</v>
      </c>
      <c r="AI18" s="34">
        <f>SQRT(AI17)</f>
        <v>11.672617529928752</v>
      </c>
      <c r="AK18" s="34" t="s">
        <v>50</v>
      </c>
      <c r="AL18" s="34">
        <f>SQRT(AL17)</f>
        <v>6.3040778717529347E-2</v>
      </c>
      <c r="AN18" s="34" t="s">
        <v>50</v>
      </c>
      <c r="AO18" s="34">
        <f>SQRT(AO17)</f>
        <v>4.3301270189221976E-3</v>
      </c>
      <c r="AQ18" s="34" t="s">
        <v>50</v>
      </c>
      <c r="AR18" s="34">
        <f>SQRT(AR17)</f>
        <v>3.5022654843071862E-4</v>
      </c>
    </row>
    <row r="19" spans="1:44" s="34" customFormat="1" x14ac:dyDescent="0.5">
      <c r="C19" s="35"/>
      <c r="E19" s="36"/>
      <c r="H19" s="36"/>
      <c r="I19" s="35"/>
      <c r="AE19" s="34" t="s">
        <v>51</v>
      </c>
      <c r="AF19" s="34">
        <f>AF18/SQRT(16)</f>
        <v>4.5330256170117112E-3</v>
      </c>
      <c r="AH19" s="34" t="s">
        <v>51</v>
      </c>
      <c r="AI19" s="34">
        <f>AI18/SQRT(16)</f>
        <v>2.9181543824821881</v>
      </c>
      <c r="AK19" s="34" t="s">
        <v>51</v>
      </c>
      <c r="AL19" s="34">
        <f>AL18/SQRT(16)</f>
        <v>1.5760194679382337E-2</v>
      </c>
      <c r="AN19" s="34" t="s">
        <v>51</v>
      </c>
      <c r="AO19" s="34">
        <f>AO18/SQRT(16)</f>
        <v>1.0825317547305494E-3</v>
      </c>
      <c r="AQ19" s="34" t="s">
        <v>51</v>
      </c>
      <c r="AR19" s="34">
        <f>AR18/SQRT(16)</f>
        <v>8.7556637107679655E-5</v>
      </c>
    </row>
    <row r="20" spans="1:44" s="34" customFormat="1" x14ac:dyDescent="0.5">
      <c r="C20" s="35"/>
      <c r="E20" s="36"/>
      <c r="H20" s="36"/>
      <c r="I20" s="35"/>
      <c r="AE20" s="36" t="s">
        <v>52</v>
      </c>
      <c r="AF20" s="34">
        <f>2*AF19</f>
        <v>9.0660512340234225E-3</v>
      </c>
      <c r="AH20" s="36" t="s">
        <v>52</v>
      </c>
      <c r="AI20" s="34">
        <f>2*AI19</f>
        <v>5.8363087649643761</v>
      </c>
      <c r="AK20" s="36" t="s">
        <v>52</v>
      </c>
      <c r="AL20" s="34">
        <f>2*AL19</f>
        <v>3.1520389358764674E-2</v>
      </c>
      <c r="AN20" s="36" t="s">
        <v>52</v>
      </c>
      <c r="AO20" s="34">
        <f>2*AO19</f>
        <v>2.1650635094610988E-3</v>
      </c>
      <c r="AQ20" s="36" t="s">
        <v>52</v>
      </c>
      <c r="AR20" s="34">
        <f>2*AR19</f>
        <v>1.7511327421535931E-4</v>
      </c>
    </row>
    <row r="21" spans="1:44" x14ac:dyDescent="0.5">
      <c r="A21" s="34"/>
      <c r="B21" s="34"/>
      <c r="C21" s="35"/>
      <c r="D21" s="34"/>
      <c r="E21" s="34"/>
      <c r="F21" s="34"/>
      <c r="G21" s="34"/>
      <c r="H21" s="34"/>
      <c r="I21" s="35"/>
    </row>
    <row r="22" spans="1:44" x14ac:dyDescent="0.5">
      <c r="A22" s="34"/>
      <c r="B22" s="34"/>
      <c r="C22" s="35"/>
      <c r="D22" s="34"/>
      <c r="E22" s="34"/>
      <c r="F22" s="34"/>
      <c r="G22" s="34"/>
      <c r="H22" s="34"/>
      <c r="I22" s="35"/>
    </row>
    <row r="23" spans="1:44" x14ac:dyDescent="0.5">
      <c r="A23" s="34"/>
      <c r="B23" s="34"/>
      <c r="C23" s="35"/>
      <c r="D23" s="34"/>
      <c r="E23" s="34"/>
      <c r="F23" s="34"/>
      <c r="G23" s="34"/>
      <c r="H23" s="34"/>
      <c r="I23" s="35"/>
    </row>
    <row r="24" spans="1:44" x14ac:dyDescent="0.5">
      <c r="A24" s="31"/>
      <c r="B24" s="31"/>
      <c r="C24" s="31"/>
      <c r="D24" s="31"/>
      <c r="E24" s="31"/>
      <c r="F24" s="31"/>
      <c r="G24" s="31"/>
      <c r="H24" s="31"/>
      <c r="I24" s="31"/>
      <c r="J24" s="32"/>
      <c r="K24" s="32"/>
      <c r="L24" s="32"/>
    </row>
    <row r="25" spans="1:44" x14ac:dyDescent="0.5">
      <c r="A25" s="33"/>
      <c r="B25" s="33"/>
      <c r="C25" s="33"/>
      <c r="D25" s="33"/>
      <c r="E25" s="33"/>
      <c r="F25" s="33"/>
      <c r="G25" s="33"/>
      <c r="H25" s="33"/>
      <c r="I25" s="33"/>
    </row>
    <row r="26" spans="1:44" x14ac:dyDescent="0.5">
      <c r="A26" s="34"/>
      <c r="B26" s="34"/>
      <c r="C26" s="35"/>
      <c r="D26" s="34"/>
      <c r="E26" s="36"/>
      <c r="F26" s="35"/>
      <c r="G26" s="34"/>
      <c r="H26" s="36"/>
      <c r="I26" s="35"/>
    </row>
    <row r="27" spans="1:44" x14ac:dyDescent="0.5">
      <c r="A27" s="34"/>
      <c r="B27" s="34"/>
      <c r="C27" s="35"/>
      <c r="D27" s="34"/>
      <c r="E27" s="36"/>
      <c r="F27" s="35"/>
      <c r="G27" s="34"/>
      <c r="H27" s="36"/>
      <c r="I27" s="35"/>
    </row>
    <row r="28" spans="1:44" x14ac:dyDescent="0.5">
      <c r="A28" s="34"/>
      <c r="B28" s="34"/>
      <c r="C28" s="35"/>
      <c r="D28" s="34"/>
      <c r="E28" s="34"/>
      <c r="F28" s="35"/>
      <c r="G28" s="34"/>
      <c r="H28" s="34"/>
      <c r="I28" s="35"/>
    </row>
    <row r="29" spans="1:44" x14ac:dyDescent="0.5">
      <c r="A29" s="34"/>
      <c r="B29" s="34"/>
      <c r="C29" s="35"/>
      <c r="D29" s="34"/>
      <c r="E29" s="34"/>
      <c r="F29" s="35"/>
      <c r="G29" s="34"/>
      <c r="H29" s="34"/>
      <c r="I29" s="35"/>
    </row>
    <row r="30" spans="1:44" x14ac:dyDescent="0.5">
      <c r="A30" s="34"/>
      <c r="B30" s="34"/>
      <c r="C30" s="35"/>
      <c r="D30" s="34"/>
      <c r="E30" s="34"/>
      <c r="F30" s="35"/>
      <c r="G30" s="34"/>
      <c r="H30" s="34"/>
      <c r="I30" s="35"/>
    </row>
    <row r="31" spans="1:44" x14ac:dyDescent="0.5">
      <c r="A31" s="31"/>
      <c r="B31" s="31"/>
      <c r="C31" s="31"/>
      <c r="D31" s="31"/>
      <c r="E31" s="31"/>
      <c r="F31" s="31"/>
      <c r="G31" s="31"/>
      <c r="H31" s="31"/>
      <c r="I31" s="31"/>
      <c r="J31" s="32"/>
      <c r="K31" s="32"/>
      <c r="L31" s="32"/>
    </row>
    <row r="32" spans="1:44" x14ac:dyDescent="0.5">
      <c r="A32" s="33"/>
      <c r="B32" s="33"/>
      <c r="C32" s="33"/>
      <c r="D32" s="33"/>
      <c r="E32" s="33"/>
      <c r="F32" s="33"/>
      <c r="G32" s="33"/>
      <c r="H32" s="33"/>
      <c r="I32" s="33"/>
    </row>
    <row r="33" spans="1:18" x14ac:dyDescent="0.5">
      <c r="A33" s="34"/>
      <c r="B33" s="34"/>
      <c r="C33" s="35"/>
      <c r="D33" s="34"/>
      <c r="E33" s="36"/>
      <c r="F33" s="35"/>
      <c r="G33" s="34"/>
      <c r="H33" s="36"/>
      <c r="I33" s="35"/>
    </row>
    <row r="34" spans="1:18" x14ac:dyDescent="0.5">
      <c r="A34" s="34"/>
      <c r="B34" s="34"/>
      <c r="C34" s="35"/>
      <c r="D34" s="34"/>
      <c r="E34" s="36"/>
      <c r="F34" s="35"/>
      <c r="G34" s="34"/>
      <c r="H34" s="36"/>
      <c r="I34" s="35"/>
    </row>
    <row r="35" spans="1:18" x14ac:dyDescent="0.5">
      <c r="A35" s="34"/>
      <c r="B35" s="34"/>
      <c r="C35" s="35"/>
      <c r="D35" s="34"/>
      <c r="E35" s="34"/>
      <c r="F35" s="35"/>
      <c r="G35" s="34"/>
      <c r="H35" s="34"/>
      <c r="I35" s="35"/>
    </row>
    <row r="36" spans="1:18" x14ac:dyDescent="0.5">
      <c r="A36" s="34"/>
      <c r="B36" s="34"/>
      <c r="C36" s="35"/>
      <c r="D36" s="34"/>
      <c r="E36" s="34"/>
      <c r="F36" s="35"/>
      <c r="G36" s="34"/>
      <c r="H36" s="34"/>
      <c r="I36" s="35"/>
    </row>
    <row r="37" spans="1:18" x14ac:dyDescent="0.5">
      <c r="A37" s="34"/>
      <c r="B37" s="34"/>
      <c r="C37" s="35"/>
      <c r="D37" s="34"/>
      <c r="E37" s="34"/>
      <c r="F37" s="35"/>
      <c r="G37" s="34"/>
      <c r="H37" s="34"/>
      <c r="I37" s="35"/>
    </row>
    <row r="40" spans="1:18" x14ac:dyDescent="0.5">
      <c r="A40" s="75" t="s">
        <v>85</v>
      </c>
      <c r="B40" s="76"/>
      <c r="C40" s="76"/>
      <c r="D40" s="76"/>
      <c r="E40" s="76"/>
      <c r="F40" s="77"/>
      <c r="H40" s="75" t="s">
        <v>80</v>
      </c>
      <c r="I40" s="76"/>
      <c r="J40" s="76"/>
      <c r="K40" s="76"/>
      <c r="L40" s="76"/>
      <c r="M40" s="76"/>
      <c r="N40" s="76"/>
      <c r="O40" s="76"/>
      <c r="P40" s="76"/>
      <c r="Q40" s="76"/>
      <c r="R40" s="77"/>
    </row>
    <row r="41" spans="1:18" x14ac:dyDescent="0.5">
      <c r="A41" s="37" t="s">
        <v>59</v>
      </c>
      <c r="B41" s="34"/>
      <c r="C41" s="34" t="s">
        <v>60</v>
      </c>
      <c r="D41" s="34"/>
      <c r="E41" s="34" t="s">
        <v>61</v>
      </c>
      <c r="F41" s="38"/>
      <c r="H41" s="37" t="s">
        <v>85</v>
      </c>
      <c r="I41" s="34"/>
      <c r="J41" s="34"/>
      <c r="K41" s="34"/>
      <c r="L41" s="34"/>
      <c r="M41" s="34"/>
      <c r="N41" s="34"/>
      <c r="O41" s="34"/>
      <c r="P41" s="34"/>
      <c r="Q41" s="34"/>
      <c r="R41" s="38"/>
    </row>
    <row r="42" spans="1:18" x14ac:dyDescent="0.5">
      <c r="A42" s="37" t="s">
        <v>57</v>
      </c>
      <c r="B42" s="34">
        <f>AVERAGE(S9:S16,AD9:AD16)</f>
        <v>0.15667472904199911</v>
      </c>
      <c r="C42" s="34" t="s">
        <v>62</v>
      </c>
      <c r="D42" s="34">
        <f>AVERAGE(S9:S16,AD9:AD16)</f>
        <v>0.15667472904199911</v>
      </c>
      <c r="E42" s="34" t="s">
        <v>64</v>
      </c>
      <c r="F42" s="38">
        <f>AVERAGE(S9:S16,AD9:AD16)</f>
        <v>0.15667472904199911</v>
      </c>
      <c r="H42" s="37" t="s">
        <v>73</v>
      </c>
      <c r="I42" s="34">
        <f>B42</f>
        <v>0.15667472904199911</v>
      </c>
      <c r="J42" s="34" t="s">
        <v>76</v>
      </c>
      <c r="K42" s="39">
        <f>B43</f>
        <v>-8.3922666237744026E-3</v>
      </c>
      <c r="L42" s="34" t="s">
        <v>70</v>
      </c>
      <c r="M42" s="34" t="s">
        <v>76</v>
      </c>
      <c r="N42" s="39">
        <f>B44</f>
        <v>-1.3219895779545132E-3</v>
      </c>
      <c r="O42" s="34" t="s">
        <v>71</v>
      </c>
      <c r="P42" s="34" t="s">
        <v>76</v>
      </c>
      <c r="Q42" s="39">
        <f>B45</f>
        <v>8.6786479320053456E-3</v>
      </c>
      <c r="R42" s="38" t="s">
        <v>72</v>
      </c>
    </row>
    <row r="43" spans="1:18" x14ac:dyDescent="0.5">
      <c r="A43" s="37" t="s">
        <v>66</v>
      </c>
      <c r="B43" s="34">
        <f>AVERAGE(S10,S12,S15:S16,AD10,AD12,AD15:AD16)-AVERAGE(S9,S11,S13:S14,AD9,AD11,AD13:AD14)</f>
        <v>-8.3922666237744026E-3</v>
      </c>
      <c r="C43" s="34" t="s">
        <v>66</v>
      </c>
      <c r="D43" s="34">
        <f>AVERAGE(S10,S12,S15:S16,AD10,AD12,AD15:AD16)-AVERAGE(S9,S11,S13:S14,AD9,AD11,AD13:AD14)</f>
        <v>-8.3922666237744026E-3</v>
      </c>
      <c r="E43" s="34" t="s">
        <v>69</v>
      </c>
      <c r="F43" s="38">
        <f>AVERAGE(S11:S12,S14,S16,AD11:AD12,AD14,AD16)-AVERAGE(S9:S10,S13,S15,AD9:AD10,AD13,AD15)</f>
        <v>-1.3219895779545132E-3</v>
      </c>
      <c r="H43" s="37" t="s">
        <v>74</v>
      </c>
      <c r="I43" s="34">
        <f>D42</f>
        <v>0.15667472904199911</v>
      </c>
      <c r="J43" s="34" t="s">
        <v>76</v>
      </c>
      <c r="K43" s="39">
        <f>D43</f>
        <v>-8.3922666237744026E-3</v>
      </c>
      <c r="L43" s="34" t="s">
        <v>70</v>
      </c>
      <c r="M43" s="34" t="s">
        <v>76</v>
      </c>
      <c r="N43" s="34">
        <f>D44</f>
        <v>3.7069910332598405E-2</v>
      </c>
      <c r="O43" s="34" t="s">
        <v>77</v>
      </c>
      <c r="P43" s="34" t="s">
        <v>76</v>
      </c>
      <c r="Q43" s="34">
        <f>D45</f>
        <v>-1.3422064271517709E-2</v>
      </c>
      <c r="R43" s="38" t="s">
        <v>78</v>
      </c>
    </row>
    <row r="44" spans="1:18" x14ac:dyDescent="0.5">
      <c r="A44" s="37" t="s">
        <v>67</v>
      </c>
      <c r="B44" s="34">
        <f>AVERAGE(S11:S12,S14,S16,AD11:AD12,AD14,AD16)-AVERAGE(S9:S10,S13,S15,AD9:AD10,AD13,AD15)</f>
        <v>-1.3219895779545132E-3</v>
      </c>
      <c r="C44" s="34" t="s">
        <v>68</v>
      </c>
      <c r="D44" s="34">
        <f>AVERAGE(S13:S16,AD13:AD16)-AVERAGE(S9:S12,AD9:AD12)</f>
        <v>3.7069910332598405E-2</v>
      </c>
      <c r="E44" s="34" t="s">
        <v>68</v>
      </c>
      <c r="F44" s="38">
        <f>AVERAGE(S13:S16,AD13:AD16)-AVERAGE(S9:S12,AD9:AD12)</f>
        <v>3.7069910332598405E-2</v>
      </c>
      <c r="H44" s="37" t="s">
        <v>75</v>
      </c>
      <c r="I44" s="34">
        <f>F42</f>
        <v>0.15667472904199911</v>
      </c>
      <c r="J44" s="34" t="s">
        <v>76</v>
      </c>
      <c r="K44" s="39">
        <f>F43</f>
        <v>-1.3219895779545132E-3</v>
      </c>
      <c r="L44" s="34" t="s">
        <v>71</v>
      </c>
      <c r="M44" s="34" t="s">
        <v>76</v>
      </c>
      <c r="N44" s="34">
        <f>F44</f>
        <v>3.7069910332598405E-2</v>
      </c>
      <c r="O44" s="34" t="s">
        <v>77</v>
      </c>
      <c r="P44" s="34" t="s">
        <v>76</v>
      </c>
      <c r="Q44" s="34">
        <f>F45</f>
        <v>-1.0789434195019543E-2</v>
      </c>
      <c r="R44" s="38" t="s">
        <v>79</v>
      </c>
    </row>
    <row r="45" spans="1:18" x14ac:dyDescent="0.5">
      <c r="A45" s="37" t="s">
        <v>58</v>
      </c>
      <c r="B45" s="34">
        <f>AVERAGE(S9,S12:S13,S16,AE9,AE12:AE13,AE16)-AVERAGE(S10:S11,S14:S15,AE10:AE11,AE14:AE15)</f>
        <v>8.6786479320053456E-3</v>
      </c>
      <c r="C45" s="34" t="s">
        <v>63</v>
      </c>
      <c r="D45" s="34">
        <f>AVERAGE(S9,S11,S15:S16,AE9,AE11,AE15:AE16)-AVERAGE(S10,S12:S14,AE10,AE12:AE14)</f>
        <v>-1.3422064271517709E-2</v>
      </c>
      <c r="E45" s="34" t="s">
        <v>63</v>
      </c>
      <c r="F45" s="38">
        <f>AVERAGE(S9:S10,S14,S16,AE9:AE10,AE14,AE16)-AVERAGE(S11:S13,S15,AE11:AE13,AE15)</f>
        <v>-1.0789434195019543E-2</v>
      </c>
      <c r="H45" s="37"/>
      <c r="I45" s="34"/>
      <c r="J45" s="34"/>
      <c r="K45" s="34"/>
      <c r="L45" s="34"/>
      <c r="M45" s="34"/>
      <c r="N45" s="34"/>
      <c r="O45" s="34"/>
      <c r="P45" s="34"/>
      <c r="Q45" s="34"/>
      <c r="R45" s="38"/>
    </row>
    <row r="46" spans="1:18" x14ac:dyDescent="0.5">
      <c r="A46" s="37"/>
      <c r="B46" s="34"/>
      <c r="C46" s="34"/>
      <c r="D46" s="34"/>
      <c r="E46" s="34"/>
      <c r="F46" s="38"/>
      <c r="H46" s="37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18" x14ac:dyDescent="0.5">
      <c r="A47" s="72" t="s">
        <v>84</v>
      </c>
      <c r="B47" s="73"/>
      <c r="C47" s="73"/>
      <c r="D47" s="73"/>
      <c r="E47" s="73"/>
      <c r="F47" s="74"/>
      <c r="H47" s="37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x14ac:dyDescent="0.5">
      <c r="A48" s="37" t="s">
        <v>59</v>
      </c>
      <c r="B48" s="34"/>
      <c r="C48" s="34" t="s">
        <v>60</v>
      </c>
      <c r="D48" s="34"/>
      <c r="E48" s="34" t="s">
        <v>61</v>
      </c>
      <c r="F48" s="38"/>
      <c r="H48" s="37" t="s">
        <v>84</v>
      </c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x14ac:dyDescent="0.5">
      <c r="A49" s="37" t="s">
        <v>57</v>
      </c>
      <c r="B49" s="34">
        <f>AVERAGE(Q9:Q16,AB9:AB16)</f>
        <v>0.35716943750000002</v>
      </c>
      <c r="C49" s="34" t="s">
        <v>62</v>
      </c>
      <c r="D49" s="34">
        <f>AVERAGE(Q9:Q16,AB9:AB16)</f>
        <v>0.35716943750000002</v>
      </c>
      <c r="E49" s="34" t="s">
        <v>64</v>
      </c>
      <c r="F49" s="38">
        <f>AVERAGE(Q9:Q16,AB9:AB16)</f>
        <v>0.35716943750000002</v>
      </c>
      <c r="H49" s="37" t="s">
        <v>73</v>
      </c>
      <c r="I49" s="34">
        <f>B49</f>
        <v>0.35716943750000002</v>
      </c>
      <c r="J49" s="34" t="s">
        <v>76</v>
      </c>
      <c r="K49" s="34">
        <f>B50</f>
        <v>0.10031637500000007</v>
      </c>
      <c r="L49" s="34" t="s">
        <v>70</v>
      </c>
      <c r="M49" s="34" t="s">
        <v>76</v>
      </c>
      <c r="N49" s="34">
        <f>B51</f>
        <v>-8.046887499999994E-2</v>
      </c>
      <c r="O49" s="34" t="s">
        <v>71</v>
      </c>
      <c r="P49" s="34" t="s">
        <v>76</v>
      </c>
      <c r="Q49" s="39">
        <f>B52</f>
        <v>-1.6786374999999909E-2</v>
      </c>
      <c r="R49" s="38" t="s">
        <v>72</v>
      </c>
    </row>
    <row r="50" spans="1:18" x14ac:dyDescent="0.5">
      <c r="A50" s="37" t="s">
        <v>66</v>
      </c>
      <c r="B50" s="34">
        <f>AVERAGE(Q10,Q12,Q15:Q16,AB10,AB12,AB15:AB16)-AVERAGE(Q9,Q11,Q13:Q14,AB9,AB11,AB13:AB14)</f>
        <v>0.10031637500000007</v>
      </c>
      <c r="C50" s="34" t="s">
        <v>66</v>
      </c>
      <c r="D50" s="34">
        <f>AVERAGE(Q10,Q12,Q15:Q16,AB10,AB12,AB15:AB16)-AVERAGE(Q9,Q11,Q13:Q14,AB9,AB11,AB13:AB14)</f>
        <v>0.10031637500000007</v>
      </c>
      <c r="E50" s="34" t="s">
        <v>69</v>
      </c>
      <c r="F50" s="38">
        <f>AVERAGE(Q11:Q12,Q14,Q16,AB11:AB12,AB14,AB16)-AVERAGE(Q9:Q10,Q13,Q15,AB9:AB10,AB13,AB15)</f>
        <v>-8.046887499999994E-2</v>
      </c>
      <c r="H50" s="37" t="s">
        <v>74</v>
      </c>
      <c r="I50" s="34">
        <f>D49</f>
        <v>0.35716943750000002</v>
      </c>
      <c r="J50" s="34" t="s">
        <v>76</v>
      </c>
      <c r="K50" s="34">
        <f>D50</f>
        <v>0.10031637500000007</v>
      </c>
      <c r="L50" s="34" t="s">
        <v>70</v>
      </c>
      <c r="M50" s="34" t="s">
        <v>76</v>
      </c>
      <c r="N50" s="34">
        <f>D51</f>
        <v>-0.14178887499999998</v>
      </c>
      <c r="O50" s="34" t="s">
        <v>77</v>
      </c>
      <c r="P50" s="34" t="s">
        <v>76</v>
      </c>
      <c r="Q50" s="39">
        <f>D52</f>
        <v>-0.10067637499999987</v>
      </c>
      <c r="R50" s="38" t="s">
        <v>78</v>
      </c>
    </row>
    <row r="51" spans="1:18" x14ac:dyDescent="0.5">
      <c r="A51" s="37" t="s">
        <v>67</v>
      </c>
      <c r="B51" s="34">
        <f>AVERAGE(Q11:Q12,Q14,Q16,AB11:AB12,AB14,AB16)-AVERAGE(Q9:Q10,Q13,Q15,AB9:AB10,AB13,AB15)</f>
        <v>-8.046887499999994E-2</v>
      </c>
      <c r="C51" s="34" t="s">
        <v>68</v>
      </c>
      <c r="D51" s="34">
        <f>AVERAGE(Q13:Q16,AB13:AB16)-AVERAGE(Q9:Q12,AB9:AB12)</f>
        <v>-0.14178887499999998</v>
      </c>
      <c r="E51" s="34" t="s">
        <v>68</v>
      </c>
      <c r="F51" s="38">
        <f>AVERAGE(Q13:Q16,AB13:AB16)-AVERAGE(Q9:Q12,AB9:AB12)</f>
        <v>-0.14178887499999998</v>
      </c>
      <c r="H51" s="37" t="s">
        <v>75</v>
      </c>
      <c r="I51" s="34">
        <f>F49</f>
        <v>0.35716943750000002</v>
      </c>
      <c r="J51" s="34" t="s">
        <v>76</v>
      </c>
      <c r="K51" s="34">
        <f>F50</f>
        <v>-8.046887499999994E-2</v>
      </c>
      <c r="L51" s="34" t="s">
        <v>71</v>
      </c>
      <c r="M51" s="34" t="s">
        <v>76</v>
      </c>
      <c r="N51" s="34">
        <f>F51</f>
        <v>-0.14178887499999998</v>
      </c>
      <c r="O51" s="34" t="s">
        <v>77</v>
      </c>
      <c r="P51" s="34" t="s">
        <v>76</v>
      </c>
      <c r="Q51" s="34">
        <f>F52</f>
        <v>1.6243874999999963E-2</v>
      </c>
      <c r="R51" s="38" t="s">
        <v>79</v>
      </c>
    </row>
    <row r="52" spans="1:18" x14ac:dyDescent="0.5">
      <c r="A52" s="37" t="s">
        <v>58</v>
      </c>
      <c r="B52" s="34">
        <f>AVERAGE(Q9,Q12:Q13,Q16,AB9,AB12:AB13,AB16)-AVERAGE(Q10:Q11,Q14:Q15,AB10:AB11,AB14:AB15)</f>
        <v>-1.6786374999999909E-2</v>
      </c>
      <c r="C52" s="34" t="s">
        <v>63</v>
      </c>
      <c r="D52" s="34">
        <f>AVERAGE(Q9,Q11,Q15:Q16,AB9,AB11,AB15:AB16)-AVERAGE(Q10,Q12:Q14,AB10,AB12:AB14)</f>
        <v>-0.10067637499999987</v>
      </c>
      <c r="E52" s="34" t="s">
        <v>63</v>
      </c>
      <c r="F52" s="38">
        <f>AVERAGE(Q9:Q10,Q14,Q16,AB9:AB10,AB14,AB16)-AVERAGE(Q11:Q13,Q15,AB11:AB13,AB15)</f>
        <v>1.6243874999999963E-2</v>
      </c>
      <c r="H52" s="37"/>
      <c r="I52" s="34"/>
      <c r="J52" s="34"/>
      <c r="K52" s="34"/>
      <c r="L52" s="34"/>
      <c r="M52" s="34"/>
      <c r="N52" s="34"/>
      <c r="O52" s="34"/>
      <c r="P52" s="34"/>
      <c r="Q52" s="34"/>
      <c r="R52" s="38"/>
    </row>
    <row r="53" spans="1:18" x14ac:dyDescent="0.5">
      <c r="A53" s="37"/>
      <c r="B53" s="34"/>
      <c r="C53" s="34"/>
      <c r="D53" s="34"/>
      <c r="E53" s="34"/>
      <c r="F53" s="38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8"/>
    </row>
    <row r="54" spans="1:18" x14ac:dyDescent="0.5">
      <c r="A54" s="72" t="s">
        <v>48</v>
      </c>
      <c r="B54" s="73"/>
      <c r="C54" s="73"/>
      <c r="D54" s="73"/>
      <c r="E54" s="73"/>
      <c r="F54" s="74"/>
      <c r="H54" s="37"/>
      <c r="I54" s="34"/>
      <c r="J54" s="34"/>
      <c r="K54" s="34"/>
      <c r="L54" s="34"/>
      <c r="M54" s="34"/>
      <c r="N54" s="34"/>
      <c r="O54" s="34"/>
      <c r="P54" s="34"/>
      <c r="Q54" s="34"/>
      <c r="R54" s="38"/>
    </row>
    <row r="55" spans="1:18" x14ac:dyDescent="0.5">
      <c r="A55" s="37" t="s">
        <v>59</v>
      </c>
      <c r="B55" s="34"/>
      <c r="C55" s="34" t="s">
        <v>60</v>
      </c>
      <c r="D55" s="34"/>
      <c r="E55" s="34" t="s">
        <v>61</v>
      </c>
      <c r="F55" s="38"/>
      <c r="H55" s="37" t="s">
        <v>48</v>
      </c>
      <c r="I55" s="34"/>
      <c r="J55" s="34"/>
      <c r="K55" s="34"/>
      <c r="L55" s="34"/>
      <c r="M55" s="34"/>
      <c r="N55" s="34"/>
      <c r="O55" s="34"/>
      <c r="P55" s="34"/>
      <c r="Q55" s="34"/>
      <c r="R55" s="38"/>
    </row>
    <row r="56" spans="1:18" x14ac:dyDescent="0.5">
      <c r="A56" s="37" t="s">
        <v>57</v>
      </c>
      <c r="B56" s="34">
        <f>AVERAGE(O9:O16,Z9:Z16)</f>
        <v>69</v>
      </c>
      <c r="C56" s="34" t="s">
        <v>62</v>
      </c>
      <c r="D56" s="34">
        <f>AVERAGE(O9:O16,Z9:Z16)</f>
        <v>69</v>
      </c>
      <c r="E56" s="34" t="s">
        <v>64</v>
      </c>
      <c r="F56" s="38">
        <f>AVERAGE(O9:O16,Z9:Z16)</f>
        <v>69</v>
      </c>
      <c r="H56" s="37" t="s">
        <v>73</v>
      </c>
      <c r="I56" s="34">
        <f>B56</f>
        <v>69</v>
      </c>
      <c r="J56" s="34" t="s">
        <v>76</v>
      </c>
      <c r="K56" s="34">
        <f>B57</f>
        <v>-0.75</v>
      </c>
      <c r="L56" s="34" t="s">
        <v>70</v>
      </c>
      <c r="M56" s="34" t="s">
        <v>76</v>
      </c>
      <c r="N56" s="34">
        <f>B58</f>
        <v>-4.75</v>
      </c>
      <c r="O56" s="34" t="s">
        <v>71</v>
      </c>
      <c r="P56" s="34" t="s">
        <v>76</v>
      </c>
      <c r="Q56" s="34">
        <f>B59</f>
        <v>2</v>
      </c>
      <c r="R56" s="38" t="s">
        <v>72</v>
      </c>
    </row>
    <row r="57" spans="1:18" x14ac:dyDescent="0.5">
      <c r="A57" s="37" t="s">
        <v>66</v>
      </c>
      <c r="B57" s="34">
        <f>AVERAGE(O10,O12,O15:O16,Z10,Z12,Z15:Z16)-AVERAGE(O9,O11,O13:O14,Z9,Z11,Z13:Z14)</f>
        <v>-0.75</v>
      </c>
      <c r="C57" s="34" t="s">
        <v>66</v>
      </c>
      <c r="D57" s="34">
        <f>AVERAGE(O10,O12,O15:O16,Z10,Z12,Z15:Z16)-AVERAGE(O9,O11,O13:O14,Z9,Z11,Z13:Z14)</f>
        <v>-0.75</v>
      </c>
      <c r="E57" s="34" t="s">
        <v>69</v>
      </c>
      <c r="F57" s="38">
        <f>AVERAGE(O11:O12,O14,O16,Z11:Z12,Z14,Z16)-AVERAGE(O9:O10,O13,O15,Z9:Z10,Z13,Z15)</f>
        <v>-4.75</v>
      </c>
      <c r="H57" s="37" t="s">
        <v>74</v>
      </c>
      <c r="I57" s="34">
        <f>D56</f>
        <v>69</v>
      </c>
      <c r="J57" s="34" t="s">
        <v>76</v>
      </c>
      <c r="K57" s="34">
        <f>D57</f>
        <v>-0.75</v>
      </c>
      <c r="L57" s="34" t="s">
        <v>70</v>
      </c>
      <c r="M57" s="34" t="s">
        <v>76</v>
      </c>
      <c r="N57" s="34">
        <f>D58</f>
        <v>5</v>
      </c>
      <c r="O57" s="34" t="s">
        <v>77</v>
      </c>
      <c r="P57" s="34" t="s">
        <v>76</v>
      </c>
      <c r="Q57" s="34">
        <f>D59</f>
        <v>2.75</v>
      </c>
      <c r="R57" s="38" t="s">
        <v>78</v>
      </c>
    </row>
    <row r="58" spans="1:18" x14ac:dyDescent="0.5">
      <c r="A58" s="37" t="s">
        <v>67</v>
      </c>
      <c r="B58" s="34">
        <f>AVERAGE(O11:O12,O14,O16,Z11:Z12,Z14,Z16)-AVERAGE(O9:O10,O13,O15,Z9:Z10,Z13,Z15)</f>
        <v>-4.75</v>
      </c>
      <c r="C58" s="34" t="s">
        <v>68</v>
      </c>
      <c r="D58" s="34">
        <f>AVERAGE(O13:O16,Z13:Z16)-AVERAGE(O9:O12,Z9:Z12)</f>
        <v>5</v>
      </c>
      <c r="E58" s="34" t="s">
        <v>68</v>
      </c>
      <c r="F58" s="38">
        <f>AVERAGE(O13:O16,Z13:Z16)-AVERAGE(O9:O12,Z9:Z12)</f>
        <v>5</v>
      </c>
      <c r="H58" s="40" t="s">
        <v>75</v>
      </c>
      <c r="I58" s="41">
        <f>F56</f>
        <v>69</v>
      </c>
      <c r="J58" s="41" t="s">
        <v>76</v>
      </c>
      <c r="K58" s="41">
        <f>F57</f>
        <v>-4.75</v>
      </c>
      <c r="L58" s="41" t="s">
        <v>71</v>
      </c>
      <c r="M58" s="41" t="s">
        <v>76</v>
      </c>
      <c r="N58" s="41">
        <f>F58</f>
        <v>5</v>
      </c>
      <c r="O58" s="41" t="s">
        <v>77</v>
      </c>
      <c r="P58" s="41" t="s">
        <v>76</v>
      </c>
      <c r="Q58" s="41">
        <f>F59</f>
        <v>-3.75</v>
      </c>
      <c r="R58" s="42" t="s">
        <v>79</v>
      </c>
    </row>
    <row r="59" spans="1:18" x14ac:dyDescent="0.5">
      <c r="A59" s="40" t="s">
        <v>58</v>
      </c>
      <c r="B59" s="41">
        <f>AVERAGE(O9,O12:O13,O16,Z9,Z12:Z13,Z16)-AVERAGE(O10:O11,O14:O15,Z10:Z11,Z14:Z15)</f>
        <v>2</v>
      </c>
      <c r="C59" s="41" t="s">
        <v>63</v>
      </c>
      <c r="D59" s="41">
        <f>AVERAGE(O9,O11,O15:O16,Z9,Z11,Z15:Z16)-AVERAGE(O10,O12:O14,Z10,Z12:Z14)</f>
        <v>2.75</v>
      </c>
      <c r="E59" s="41" t="s">
        <v>63</v>
      </c>
      <c r="F59" s="42">
        <f>AVERAGE(O9:O10,O14,O16,Z9:Z10,Z14,Z16)-AVERAGE(O11:O13,O15,Z11:Z13,Z15)</f>
        <v>-3.75</v>
      </c>
    </row>
    <row r="61" spans="1:18" x14ac:dyDescent="0.5">
      <c r="M61" s="21">
        <f>7/24</f>
        <v>0.29166666666666669</v>
      </c>
    </row>
  </sheetData>
  <mergeCells count="4">
    <mergeCell ref="A47:F47"/>
    <mergeCell ref="A54:F54"/>
    <mergeCell ref="A40:F40"/>
    <mergeCell ref="H40:R40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1"/>
  <sheetViews>
    <sheetView topLeftCell="C31" zoomScale="80" zoomScaleNormal="80" workbookViewId="0">
      <selection activeCell="H24" sqref="H24"/>
    </sheetView>
  </sheetViews>
  <sheetFormatPr defaultRowHeight="14.1" x14ac:dyDescent="0.5"/>
  <cols>
    <col min="1" max="1" width="13.15625" style="21" bestFit="1" customWidth="1"/>
    <col min="2" max="2" width="4.89453125" style="21" bestFit="1" customWidth="1"/>
    <col min="3" max="3" width="7.15625" style="21" customWidth="1"/>
    <col min="4" max="4" width="9.1015625" style="21" customWidth="1"/>
    <col min="5" max="5" width="10.68359375" style="21" customWidth="1"/>
    <col min="6" max="6" width="5" style="21" customWidth="1"/>
    <col min="7" max="7" width="9.68359375" style="21" customWidth="1"/>
    <col min="8" max="8" width="19.05078125" style="21" bestFit="1" customWidth="1"/>
    <col min="9" max="9" width="8.41796875" style="21" customWidth="1"/>
    <col min="10" max="10" width="5.47265625" style="21" customWidth="1"/>
    <col min="11" max="18" width="8.83984375" style="21" customWidth="1"/>
    <col min="19" max="19" width="13.15625" style="21" customWidth="1"/>
    <col min="20" max="20" width="13.15625" style="21" bestFit="1" customWidth="1"/>
    <col min="21" max="27" width="8.83984375" style="21" customWidth="1"/>
    <col min="28" max="31" width="8.83984375" style="21"/>
    <col min="32" max="32" width="11.578125" style="21" bestFit="1" customWidth="1"/>
    <col min="33" max="40" width="8.83984375" style="21"/>
    <col min="41" max="41" width="10.68359375" style="21" bestFit="1" customWidth="1"/>
    <col min="42" max="16384" width="8.83984375" style="21"/>
  </cols>
  <sheetData>
    <row r="1" spans="1:47" x14ac:dyDescent="0.5">
      <c r="A1" s="21" t="s">
        <v>4</v>
      </c>
    </row>
    <row r="2" spans="1:47" x14ac:dyDescent="0.5">
      <c r="A2" s="21" t="s">
        <v>0</v>
      </c>
      <c r="B2" s="21" t="s">
        <v>5</v>
      </c>
      <c r="C2" s="21">
        <v>25</v>
      </c>
    </row>
    <row r="3" spans="1:47" x14ac:dyDescent="0.5">
      <c r="A3" s="21" t="s">
        <v>1</v>
      </c>
      <c r="B3" s="21" t="s">
        <v>5</v>
      </c>
      <c r="C3" s="21">
        <v>26</v>
      </c>
    </row>
    <row r="4" spans="1:47" x14ac:dyDescent="0.5">
      <c r="A4" s="21" t="s">
        <v>2</v>
      </c>
      <c r="B4" s="21" t="s">
        <v>5</v>
      </c>
      <c r="C4" s="21">
        <v>77</v>
      </c>
    </row>
    <row r="5" spans="1:47" x14ac:dyDescent="0.5">
      <c r="A5" s="21" t="s">
        <v>3</v>
      </c>
      <c r="B5" s="21" t="s">
        <v>5</v>
      </c>
      <c r="C5" s="21">
        <v>237</v>
      </c>
    </row>
    <row r="7" spans="1:47" x14ac:dyDescent="0.5">
      <c r="J7" s="43"/>
      <c r="K7" s="22" t="s">
        <v>17</v>
      </c>
      <c r="L7" s="22"/>
      <c r="M7" s="22"/>
      <c r="N7" s="22"/>
      <c r="O7" s="22"/>
      <c r="P7" s="22"/>
      <c r="Q7" s="22"/>
      <c r="R7" s="22"/>
      <c r="S7" s="22"/>
      <c r="T7" s="23"/>
      <c r="U7" s="23"/>
      <c r="V7" s="23" t="s">
        <v>16</v>
      </c>
      <c r="W7" s="23"/>
      <c r="X7" s="23"/>
      <c r="Y7" s="23"/>
      <c r="Z7" s="23"/>
      <c r="AA7" s="23"/>
      <c r="AB7" s="23"/>
      <c r="AC7" s="23"/>
      <c r="AD7" s="23"/>
      <c r="AE7" s="24"/>
      <c r="AF7" s="24"/>
      <c r="AG7" s="24"/>
      <c r="AH7" s="25" t="s">
        <v>103</v>
      </c>
      <c r="AI7" s="25"/>
      <c r="AJ7" s="25"/>
      <c r="AK7" s="26" t="s">
        <v>82</v>
      </c>
      <c r="AL7" s="26"/>
      <c r="AM7" s="26"/>
      <c r="AN7" s="27" t="s">
        <v>12</v>
      </c>
      <c r="AO7" s="27"/>
      <c r="AP7" s="27"/>
      <c r="AQ7" s="21" t="s">
        <v>102</v>
      </c>
    </row>
    <row r="8" spans="1:47" ht="16.5" x14ac:dyDescent="0.7">
      <c r="A8" s="21" t="s">
        <v>15</v>
      </c>
      <c r="B8" s="21" t="s">
        <v>6</v>
      </c>
      <c r="C8" s="21" t="s">
        <v>8</v>
      </c>
      <c r="D8" s="21" t="s">
        <v>7</v>
      </c>
      <c r="E8" s="21" t="s">
        <v>9</v>
      </c>
      <c r="F8" s="21" t="s">
        <v>87</v>
      </c>
      <c r="G8" s="21" t="s">
        <v>88</v>
      </c>
      <c r="H8" s="21" t="s">
        <v>89</v>
      </c>
      <c r="I8" s="21" t="s">
        <v>90</v>
      </c>
      <c r="J8" s="21" t="s">
        <v>27</v>
      </c>
      <c r="K8" s="21" t="s">
        <v>28</v>
      </c>
      <c r="L8" s="21" t="s">
        <v>30</v>
      </c>
      <c r="M8" s="21" t="s">
        <v>43</v>
      </c>
      <c r="N8" s="21" t="s">
        <v>29</v>
      </c>
      <c r="O8" s="21" t="s">
        <v>103</v>
      </c>
      <c r="P8" s="21" t="s">
        <v>104</v>
      </c>
      <c r="Q8" s="21" t="s">
        <v>83</v>
      </c>
      <c r="R8" s="21" t="s">
        <v>13</v>
      </c>
      <c r="T8" s="21" t="s">
        <v>44</v>
      </c>
      <c r="U8" s="21" t="s">
        <v>41</v>
      </c>
      <c r="V8" s="21" t="s">
        <v>14</v>
      </c>
      <c r="W8" s="21" t="s">
        <v>31</v>
      </c>
      <c r="X8" s="21" t="s">
        <v>43</v>
      </c>
      <c r="Y8" s="21" t="s">
        <v>11</v>
      </c>
      <c r="Z8" s="21" t="s">
        <v>103</v>
      </c>
      <c r="AA8" s="21" t="s">
        <v>12</v>
      </c>
      <c r="AB8" s="21" t="s">
        <v>83</v>
      </c>
      <c r="AC8" s="21" t="s">
        <v>13</v>
      </c>
      <c r="AH8" s="21" t="s">
        <v>18</v>
      </c>
      <c r="AI8" s="21" t="s">
        <v>19</v>
      </c>
      <c r="AJ8" s="21" t="s">
        <v>86</v>
      </c>
      <c r="AK8" s="21" t="s">
        <v>18</v>
      </c>
      <c r="AL8" s="21" t="s">
        <v>19</v>
      </c>
      <c r="AM8" s="21" t="s">
        <v>86</v>
      </c>
      <c r="AN8" s="21" t="s">
        <v>18</v>
      </c>
      <c r="AO8" s="21" t="s">
        <v>19</v>
      </c>
      <c r="AP8" s="21" t="s">
        <v>86</v>
      </c>
      <c r="AQ8" s="21" t="s">
        <v>18</v>
      </c>
      <c r="AR8" s="21" t="s">
        <v>19</v>
      </c>
      <c r="AS8" s="21" t="s">
        <v>86</v>
      </c>
      <c r="AT8" s="21" t="s">
        <v>100</v>
      </c>
      <c r="AU8" s="21" t="s">
        <v>101</v>
      </c>
    </row>
    <row r="9" spans="1:47" x14ac:dyDescent="0.5">
      <c r="A9" s="28">
        <v>43211.081944444442</v>
      </c>
      <c r="B9" s="21">
        <v>1</v>
      </c>
      <c r="C9" s="21">
        <v>-1</v>
      </c>
      <c r="D9" s="21">
        <v>-1</v>
      </c>
      <c r="E9" s="21">
        <v>-1</v>
      </c>
      <c r="F9" s="21">
        <f>C9*D9</f>
        <v>1</v>
      </c>
      <c r="G9" s="21">
        <f>C9*E9</f>
        <v>1</v>
      </c>
      <c r="H9" s="21">
        <f>D9*E9</f>
        <v>1</v>
      </c>
      <c r="I9" s="21">
        <f>C9*D9*E9</f>
        <v>-1</v>
      </c>
      <c r="J9" s="21">
        <v>513</v>
      </c>
      <c r="K9" s="21">
        <v>256</v>
      </c>
      <c r="L9" s="21" t="s">
        <v>35</v>
      </c>
      <c r="M9" s="21">
        <v>77</v>
      </c>
      <c r="N9" s="21">
        <v>247</v>
      </c>
      <c r="O9" s="21">
        <f>Q9/180</f>
        <v>0.40260416666666665</v>
      </c>
      <c r="P9" s="21">
        <v>0.27</v>
      </c>
      <c r="Q9" s="21">
        <v>72.46875</v>
      </c>
      <c r="R9" s="21">
        <v>619.596</v>
      </c>
      <c r="T9" s="29">
        <v>43202.181250000001</v>
      </c>
      <c r="U9" s="21">
        <v>512</v>
      </c>
      <c r="V9" s="21">
        <v>268</v>
      </c>
      <c r="W9" s="21" t="s">
        <v>42</v>
      </c>
      <c r="X9" s="21">
        <v>25</v>
      </c>
      <c r="Y9" s="21">
        <v>210</v>
      </c>
      <c r="Z9" s="21">
        <f>AB9/180</f>
        <v>0.36683333333333334</v>
      </c>
      <c r="AA9" s="21">
        <v>0.26</v>
      </c>
      <c r="AB9" s="21">
        <v>66.03</v>
      </c>
      <c r="AC9" s="21">
        <v>446.14800000000002</v>
      </c>
      <c r="AH9" s="21">
        <f>AVERAGE(O9,Z9)</f>
        <v>0.38471875</v>
      </c>
      <c r="AI9" s="21">
        <f t="shared" ref="AI9:AI16" si="0">((O9-AH9)^2+(Z9-AH9)^2)/(2-1)</f>
        <v>6.3977625868055462E-4</v>
      </c>
      <c r="AJ9" s="21">
        <f>SQRT(AI9)</f>
        <v>2.5293798818693775E-2</v>
      </c>
      <c r="AK9" s="21">
        <f t="shared" ref="AK9:AK16" si="1">AVERAGE(Q9,AB9)</f>
        <v>69.249375000000001</v>
      </c>
      <c r="AL9" s="21">
        <f t="shared" ref="AL9:AL16" si="2">((Q9-AK9)^2+(AB9-AK9)^2)/(2-1)</f>
        <v>20.728750781249992</v>
      </c>
      <c r="AM9" s="21">
        <f>SQRT(AL9)</f>
        <v>4.5528837873648822</v>
      </c>
      <c r="AN9" s="21">
        <f t="shared" ref="AN9:AN16" si="3">AVERAGE(P9,AA9)</f>
        <v>0.26500000000000001</v>
      </c>
      <c r="AO9" s="21">
        <f t="shared" ref="AO9:AO16" si="4">((P9-AN9)^2+(AA9-AN9)^2)/(2-1)</f>
        <v>5.000000000000009E-5</v>
      </c>
      <c r="AP9" s="21">
        <f>SQRT(AO9)</f>
        <v>7.0710678118654814E-3</v>
      </c>
      <c r="AQ9" s="21">
        <f>AVERAGE(AT9:AU9)</f>
        <v>0.38471875</v>
      </c>
      <c r="AR9" s="21">
        <f>((AT9-AQ9)^2+(AU9-AQ9)^2)/(2-1)</f>
        <v>6.3977625868055462E-4</v>
      </c>
      <c r="AS9" s="21">
        <f>SQRT(AR9)</f>
        <v>2.5293798818693775E-2</v>
      </c>
      <c r="AT9" s="21">
        <f>Q9/180</f>
        <v>0.40260416666666665</v>
      </c>
      <c r="AU9" s="21">
        <f>AB9/180</f>
        <v>0.36683333333333334</v>
      </c>
    </row>
    <row r="10" spans="1:47" x14ac:dyDescent="0.5">
      <c r="A10" s="29">
        <v>43211.094444444447</v>
      </c>
      <c r="B10" s="21">
        <v>2</v>
      </c>
      <c r="C10" s="21">
        <v>1</v>
      </c>
      <c r="D10" s="21">
        <v>-1</v>
      </c>
      <c r="E10" s="21">
        <v>-1</v>
      </c>
      <c r="F10" s="21">
        <f t="shared" ref="F10:F16" si="5">C10*D10</f>
        <v>-1</v>
      </c>
      <c r="G10" s="21">
        <f t="shared" ref="G10:G16" si="6">C10*E10</f>
        <v>-1</v>
      </c>
      <c r="H10" s="21">
        <f t="shared" ref="H10:H16" si="7">D10*E10</f>
        <v>1</v>
      </c>
      <c r="I10" s="21">
        <f t="shared" ref="I10:I16" si="8">C10*D10*E10</f>
        <v>1</v>
      </c>
      <c r="J10" s="21">
        <v>521</v>
      </c>
      <c r="K10" s="21">
        <v>261</v>
      </c>
      <c r="L10" s="21" t="s">
        <v>0</v>
      </c>
      <c r="M10" s="21">
        <v>25</v>
      </c>
      <c r="N10" s="21">
        <v>220</v>
      </c>
      <c r="O10" s="21">
        <f t="shared" ref="O10:O16" si="9">Q10/180</f>
        <v>0.38767361111111109</v>
      </c>
      <c r="P10" s="21">
        <v>0.28000000000000003</v>
      </c>
      <c r="Q10" s="21">
        <v>69.78125</v>
      </c>
      <c r="R10" s="21">
        <v>426.81900000000002</v>
      </c>
      <c r="T10" s="29">
        <v>43211.166666666664</v>
      </c>
      <c r="U10" s="21">
        <v>516</v>
      </c>
      <c r="V10" s="21">
        <v>271</v>
      </c>
      <c r="W10" s="21" t="s">
        <v>42</v>
      </c>
      <c r="X10" s="21">
        <v>25</v>
      </c>
      <c r="Y10" s="21">
        <v>213</v>
      </c>
      <c r="Z10" s="21">
        <f t="shared" ref="Z10:Z16" si="10">AB10/180</f>
        <v>0.3795</v>
      </c>
      <c r="AA10" s="21">
        <f>0.27</f>
        <v>0.27</v>
      </c>
      <c r="AB10" s="21">
        <v>68.31</v>
      </c>
      <c r="AC10" s="21">
        <v>537.67200000000003</v>
      </c>
      <c r="AH10" s="21">
        <f t="shared" ref="AH9:AH16" si="11">AVERAGE(O10,Z10)</f>
        <v>0.38358680555555558</v>
      </c>
      <c r="AI10" s="21">
        <f t="shared" si="0"/>
        <v>3.3403959297839331E-5</v>
      </c>
      <c r="AJ10" s="21">
        <f t="shared" ref="AJ10:AJ16" si="12">SQRT(AI10)</f>
        <v>5.7796158434483625E-3</v>
      </c>
      <c r="AK10" s="21">
        <f t="shared" si="1"/>
        <v>69.045625000000001</v>
      </c>
      <c r="AL10" s="21">
        <f t="shared" si="2"/>
        <v>1.0822882812499968</v>
      </c>
      <c r="AM10" s="21">
        <f t="shared" ref="AM10:AM16" si="13">SQRT(AL10)</f>
        <v>1.0403308518207064</v>
      </c>
      <c r="AN10" s="21">
        <f t="shared" si="3"/>
        <v>0.27500000000000002</v>
      </c>
      <c r="AO10" s="21">
        <f t="shared" si="4"/>
        <v>5.000000000000009E-5</v>
      </c>
      <c r="AP10" s="21">
        <f t="shared" ref="AP10:AP16" si="14">SQRT(AO10)</f>
        <v>7.0710678118654814E-3</v>
      </c>
      <c r="AQ10" s="21">
        <f t="shared" ref="AQ10:AQ16" si="15">AVERAGE(AT10:AU10)</f>
        <v>0.38358680555555558</v>
      </c>
      <c r="AR10" s="21">
        <f t="shared" ref="AR10:AR16" si="16">((AT10-AQ10)^2+(AU10-AQ10)^2)/(2-1)</f>
        <v>3.3403959297839331E-5</v>
      </c>
      <c r="AS10" s="21">
        <f t="shared" ref="AS10:AS15" si="17">SQRT(AR10)</f>
        <v>5.7796158434483625E-3</v>
      </c>
      <c r="AT10" s="21">
        <f t="shared" ref="AT10:AT16" si="18">Q10/180</f>
        <v>0.38767361111111109</v>
      </c>
      <c r="AU10" s="21">
        <f t="shared" ref="AU10:AU16" si="19">AB10/180</f>
        <v>0.3795</v>
      </c>
    </row>
    <row r="11" spans="1:47" x14ac:dyDescent="0.5">
      <c r="A11" s="29">
        <v>43210.19027777778</v>
      </c>
      <c r="B11" s="21">
        <v>3</v>
      </c>
      <c r="C11" s="21">
        <v>-1</v>
      </c>
      <c r="D11" s="21">
        <v>1</v>
      </c>
      <c r="E11" s="21">
        <v>-1</v>
      </c>
      <c r="F11" s="21">
        <f t="shared" si="5"/>
        <v>-1</v>
      </c>
      <c r="G11" s="21">
        <f t="shared" si="6"/>
        <v>1</v>
      </c>
      <c r="H11" s="21">
        <f t="shared" si="7"/>
        <v>-1</v>
      </c>
      <c r="I11" s="21">
        <f t="shared" si="8"/>
        <v>1</v>
      </c>
      <c r="J11" s="21">
        <v>513</v>
      </c>
      <c r="K11" s="21">
        <v>243</v>
      </c>
      <c r="L11" s="21" t="s">
        <v>0</v>
      </c>
      <c r="M11" s="21">
        <v>25</v>
      </c>
      <c r="N11" s="21">
        <v>222</v>
      </c>
      <c r="O11" s="21">
        <f t="shared" si="9"/>
        <v>0.3888888888888889</v>
      </c>
      <c r="P11" s="21">
        <v>0.28000000000000003</v>
      </c>
      <c r="Q11" s="21">
        <v>70</v>
      </c>
      <c r="R11" s="21">
        <v>541.125</v>
      </c>
      <c r="U11" s="21">
        <v>508</v>
      </c>
      <c r="V11" s="21">
        <v>246</v>
      </c>
      <c r="W11" s="21" t="s">
        <v>42</v>
      </c>
      <c r="X11" s="21">
        <v>25</v>
      </c>
      <c r="Y11" s="21">
        <v>233</v>
      </c>
      <c r="Z11" s="21">
        <f t="shared" si="10"/>
        <v>0.38776044444444446</v>
      </c>
      <c r="AA11" s="21">
        <v>0.28000000000000003</v>
      </c>
      <c r="AB11" s="21">
        <v>69.796880000000002</v>
      </c>
      <c r="AC11" s="21">
        <v>376.97800000000001</v>
      </c>
      <c r="AH11" s="21">
        <f t="shared" si="11"/>
        <v>0.38832466666666665</v>
      </c>
      <c r="AI11" s="21">
        <f t="shared" si="0"/>
        <v>6.3669343209875131E-7</v>
      </c>
      <c r="AJ11" s="21">
        <f t="shared" si="12"/>
        <v>7.9793071885894413E-4</v>
      </c>
      <c r="AK11" s="21">
        <f t="shared" si="1"/>
        <v>69.898439999999994</v>
      </c>
      <c r="AL11" s="21">
        <f t="shared" si="2"/>
        <v>2.0628867199999679E-2</v>
      </c>
      <c r="AM11" s="21">
        <f t="shared" si="13"/>
        <v>0.1436275293946104</v>
      </c>
      <c r="AN11" s="21">
        <f t="shared" si="3"/>
        <v>0.28000000000000003</v>
      </c>
      <c r="AO11" s="21">
        <f t="shared" si="4"/>
        <v>0</v>
      </c>
      <c r="AP11" s="21">
        <f t="shared" si="14"/>
        <v>0</v>
      </c>
      <c r="AQ11" s="21">
        <f t="shared" si="15"/>
        <v>0.38832466666666665</v>
      </c>
      <c r="AR11" s="21">
        <f t="shared" si="16"/>
        <v>6.3669343209875131E-7</v>
      </c>
      <c r="AS11" s="21">
        <f t="shared" si="17"/>
        <v>7.9793071885894413E-4</v>
      </c>
      <c r="AT11" s="21">
        <f t="shared" si="18"/>
        <v>0.3888888888888889</v>
      </c>
      <c r="AU11" s="21">
        <f t="shared" si="19"/>
        <v>0.38776044444444446</v>
      </c>
    </row>
    <row r="12" spans="1:47" x14ac:dyDescent="0.5">
      <c r="A12" s="29">
        <v>43211.058333333334</v>
      </c>
      <c r="B12" s="21">
        <v>4</v>
      </c>
      <c r="C12" s="21">
        <v>1</v>
      </c>
      <c r="D12" s="21">
        <v>1</v>
      </c>
      <c r="E12" s="21">
        <v>-1</v>
      </c>
      <c r="F12" s="21">
        <f t="shared" si="5"/>
        <v>1</v>
      </c>
      <c r="G12" s="21">
        <f t="shared" si="6"/>
        <v>-1</v>
      </c>
      <c r="H12" s="21">
        <f t="shared" si="7"/>
        <v>-1</v>
      </c>
      <c r="I12" s="21">
        <f t="shared" si="8"/>
        <v>-1</v>
      </c>
      <c r="J12" s="21">
        <v>510</v>
      </c>
      <c r="K12" s="21">
        <v>250</v>
      </c>
      <c r="L12" s="21" t="s">
        <v>1</v>
      </c>
      <c r="M12" s="21">
        <v>26</v>
      </c>
      <c r="N12" s="21">
        <v>215</v>
      </c>
      <c r="O12" s="21">
        <f t="shared" si="9"/>
        <v>0.38029516666666668</v>
      </c>
      <c r="P12" s="21">
        <v>0.27</v>
      </c>
      <c r="Q12" s="21">
        <v>68.453130000000002</v>
      </c>
      <c r="R12" s="21">
        <v>409.791</v>
      </c>
      <c r="T12" s="29">
        <v>43211.15625</v>
      </c>
      <c r="U12" s="21">
        <v>506</v>
      </c>
      <c r="V12" s="21">
        <v>252</v>
      </c>
      <c r="W12" s="21" t="s">
        <v>1</v>
      </c>
      <c r="X12" s="21">
        <v>26</v>
      </c>
      <c r="Y12" s="21">
        <v>214</v>
      </c>
      <c r="Z12" s="21">
        <f t="shared" si="10"/>
        <v>0.34418405555555559</v>
      </c>
      <c r="AA12" s="21">
        <v>0.27</v>
      </c>
      <c r="AB12" s="21">
        <v>61.953130000000002</v>
      </c>
      <c r="AC12" s="21">
        <v>537.67200000000003</v>
      </c>
      <c r="AH12" s="21">
        <f t="shared" si="11"/>
        <v>0.36223961111111114</v>
      </c>
      <c r="AI12" s="21">
        <f t="shared" si="0"/>
        <v>6.5200617283950552E-4</v>
      </c>
      <c r="AJ12" s="21">
        <f t="shared" si="12"/>
        <v>2.5534411542847538E-2</v>
      </c>
      <c r="AK12" s="21">
        <f t="shared" si="1"/>
        <v>65.203130000000002</v>
      </c>
      <c r="AL12" s="21">
        <f t="shared" si="2"/>
        <v>21.125</v>
      </c>
      <c r="AM12" s="21">
        <f t="shared" si="13"/>
        <v>4.5961940777125587</v>
      </c>
      <c r="AN12" s="21">
        <f t="shared" si="3"/>
        <v>0.27</v>
      </c>
      <c r="AO12" s="21">
        <f t="shared" si="4"/>
        <v>0</v>
      </c>
      <c r="AP12" s="21">
        <f t="shared" si="14"/>
        <v>0</v>
      </c>
      <c r="AQ12" s="21">
        <f t="shared" si="15"/>
        <v>0.36223961111111114</v>
      </c>
      <c r="AR12" s="21">
        <f t="shared" si="16"/>
        <v>6.5200617283950552E-4</v>
      </c>
      <c r="AS12" s="21">
        <f t="shared" si="17"/>
        <v>2.5534411542847538E-2</v>
      </c>
      <c r="AT12" s="21">
        <f t="shared" si="18"/>
        <v>0.38029516666666668</v>
      </c>
      <c r="AU12" s="21">
        <f t="shared" si="19"/>
        <v>0.34418405555555559</v>
      </c>
    </row>
    <row r="13" spans="1:47" x14ac:dyDescent="0.5">
      <c r="A13" s="29">
        <v>43210.169444444444</v>
      </c>
      <c r="B13" s="21">
        <v>5</v>
      </c>
      <c r="C13" s="21">
        <v>-1</v>
      </c>
      <c r="D13" s="21">
        <v>-1</v>
      </c>
      <c r="E13" s="21">
        <v>1</v>
      </c>
      <c r="F13" s="21">
        <f t="shared" si="5"/>
        <v>1</v>
      </c>
      <c r="G13" s="21">
        <f t="shared" si="6"/>
        <v>-1</v>
      </c>
      <c r="H13" s="21">
        <f t="shared" si="7"/>
        <v>-1</v>
      </c>
      <c r="I13" s="21">
        <f t="shared" si="8"/>
        <v>1</v>
      </c>
      <c r="J13" s="21">
        <v>521</v>
      </c>
      <c r="K13" s="21">
        <v>260</v>
      </c>
      <c r="L13" s="21" t="s">
        <v>0</v>
      </c>
      <c r="M13" s="21">
        <v>25</v>
      </c>
      <c r="N13" s="21">
        <v>210</v>
      </c>
      <c r="O13" s="21">
        <f t="shared" si="9"/>
        <v>0.35598888888888891</v>
      </c>
      <c r="P13" s="21">
        <v>0.27</v>
      </c>
      <c r="Q13" s="21">
        <v>64.078000000000003</v>
      </c>
      <c r="R13" s="21">
        <v>400.90100000000001</v>
      </c>
      <c r="T13" s="29">
        <v>43211.208333333336</v>
      </c>
      <c r="U13" s="21">
        <v>498</v>
      </c>
      <c r="V13" s="21">
        <v>273</v>
      </c>
      <c r="W13" s="21" t="s">
        <v>1</v>
      </c>
      <c r="X13" s="21">
        <v>26</v>
      </c>
      <c r="Y13" s="21">
        <v>182</v>
      </c>
      <c r="Z13" s="21">
        <f t="shared" si="10"/>
        <v>0.35260416666666666</v>
      </c>
      <c r="AA13" s="21">
        <v>0.27</v>
      </c>
      <c r="AB13" s="21">
        <v>63.46875</v>
      </c>
      <c r="AC13" s="21">
        <v>342.47899999999998</v>
      </c>
      <c r="AH13" s="21">
        <f t="shared" si="11"/>
        <v>0.35429652777777776</v>
      </c>
      <c r="AI13" s="21">
        <f t="shared" si="0"/>
        <v>5.7281722608025538E-6</v>
      </c>
      <c r="AJ13" s="21">
        <f t="shared" si="12"/>
        <v>2.3933600357661515E-3</v>
      </c>
      <c r="AK13" s="21">
        <f t="shared" si="1"/>
        <v>63.773375000000001</v>
      </c>
      <c r="AL13" s="21">
        <f t="shared" si="2"/>
        <v>0.18559278125000181</v>
      </c>
      <c r="AM13" s="21">
        <f t="shared" si="13"/>
        <v>0.4308048064379062</v>
      </c>
      <c r="AN13" s="21">
        <f t="shared" si="3"/>
        <v>0.27</v>
      </c>
      <c r="AO13" s="21">
        <f t="shared" si="4"/>
        <v>0</v>
      </c>
      <c r="AP13" s="21">
        <f t="shared" si="14"/>
        <v>0</v>
      </c>
      <c r="AQ13" s="21">
        <f t="shared" si="15"/>
        <v>0.35429652777777776</v>
      </c>
      <c r="AR13" s="21">
        <f t="shared" si="16"/>
        <v>5.7281722608025538E-6</v>
      </c>
      <c r="AS13" s="21">
        <f t="shared" si="17"/>
        <v>2.3933600357661515E-3</v>
      </c>
      <c r="AT13" s="21">
        <f t="shared" si="18"/>
        <v>0.35598888888888891</v>
      </c>
      <c r="AU13" s="21">
        <f t="shared" si="19"/>
        <v>0.35260416666666666</v>
      </c>
    </row>
    <row r="14" spans="1:47" x14ac:dyDescent="0.5">
      <c r="A14" s="29">
        <v>43210.15347222222</v>
      </c>
      <c r="B14" s="21">
        <v>6</v>
      </c>
      <c r="C14" s="21">
        <v>-1</v>
      </c>
      <c r="D14" s="21">
        <v>1</v>
      </c>
      <c r="E14" s="21">
        <v>1</v>
      </c>
      <c r="F14" s="21">
        <f t="shared" si="5"/>
        <v>-1</v>
      </c>
      <c r="G14" s="21">
        <f t="shared" si="6"/>
        <v>-1</v>
      </c>
      <c r="H14" s="21">
        <f t="shared" si="7"/>
        <v>1</v>
      </c>
      <c r="I14" s="21">
        <f t="shared" si="8"/>
        <v>-1</v>
      </c>
      <c r="J14" s="21">
        <v>514</v>
      </c>
      <c r="K14" s="21">
        <v>243</v>
      </c>
      <c r="L14" s="21" t="s">
        <v>1</v>
      </c>
      <c r="M14" s="21">
        <v>26</v>
      </c>
      <c r="N14" s="21">
        <v>223</v>
      </c>
      <c r="O14" s="21">
        <f t="shared" si="9"/>
        <v>0.36354166666666665</v>
      </c>
      <c r="P14" s="21">
        <v>0.27</v>
      </c>
      <c r="Q14" s="21">
        <v>65.4375</v>
      </c>
      <c r="R14" s="21">
        <v>424.09500000000003</v>
      </c>
      <c r="T14" s="29">
        <v>43211.229166666664</v>
      </c>
      <c r="U14" s="21">
        <v>502</v>
      </c>
      <c r="V14" s="21">
        <v>251</v>
      </c>
      <c r="W14" s="21" t="s">
        <v>1</v>
      </c>
      <c r="X14" s="21">
        <v>26</v>
      </c>
      <c r="Y14" s="21">
        <v>214</v>
      </c>
      <c r="Z14" s="21">
        <f t="shared" si="10"/>
        <v>0.39548611111111109</v>
      </c>
      <c r="AA14" s="21">
        <v>0.27</v>
      </c>
      <c r="AB14" s="21">
        <v>71.1875</v>
      </c>
      <c r="AC14" s="21">
        <v>369.22699999999998</v>
      </c>
      <c r="AH14" s="21">
        <f t="shared" si="11"/>
        <v>0.37951388888888887</v>
      </c>
      <c r="AI14" s="21">
        <f t="shared" si="0"/>
        <v>5.1022376543209864E-4</v>
      </c>
      <c r="AJ14" s="21">
        <f t="shared" si="12"/>
        <v>2.25881332879036E-2</v>
      </c>
      <c r="AK14" s="21">
        <f t="shared" si="1"/>
        <v>68.3125</v>
      </c>
      <c r="AL14" s="21">
        <f t="shared" si="2"/>
        <v>16.53125</v>
      </c>
      <c r="AM14" s="21">
        <f t="shared" si="13"/>
        <v>4.0658639918226482</v>
      </c>
      <c r="AN14" s="21">
        <f t="shared" si="3"/>
        <v>0.27</v>
      </c>
      <c r="AO14" s="21">
        <f t="shared" si="4"/>
        <v>0</v>
      </c>
      <c r="AP14" s="21">
        <f t="shared" si="14"/>
        <v>0</v>
      </c>
      <c r="AQ14" s="21">
        <f t="shared" si="15"/>
        <v>0.37951388888888887</v>
      </c>
      <c r="AR14" s="21">
        <f t="shared" si="16"/>
        <v>5.1022376543209864E-4</v>
      </c>
      <c r="AS14" s="21">
        <f t="shared" si="17"/>
        <v>2.25881332879036E-2</v>
      </c>
      <c r="AT14" s="21">
        <f t="shared" si="18"/>
        <v>0.36354166666666665</v>
      </c>
      <c r="AU14" s="21">
        <f t="shared" si="19"/>
        <v>0.39548611111111109</v>
      </c>
    </row>
    <row r="15" spans="1:47" x14ac:dyDescent="0.5">
      <c r="A15" s="29">
        <v>43210.085416666669</v>
      </c>
      <c r="B15" s="21">
        <v>7</v>
      </c>
      <c r="C15" s="21">
        <v>1</v>
      </c>
      <c r="D15" s="21">
        <v>-1</v>
      </c>
      <c r="E15" s="21">
        <v>1</v>
      </c>
      <c r="F15" s="21">
        <f t="shared" si="5"/>
        <v>-1</v>
      </c>
      <c r="G15" s="21">
        <f t="shared" si="6"/>
        <v>1</v>
      </c>
      <c r="H15" s="21">
        <f t="shared" si="7"/>
        <v>-1</v>
      </c>
      <c r="I15" s="21">
        <f t="shared" si="8"/>
        <v>-1</v>
      </c>
      <c r="J15" s="21">
        <v>520</v>
      </c>
      <c r="K15" s="21">
        <v>285</v>
      </c>
      <c r="L15" s="21" t="s">
        <v>0</v>
      </c>
      <c r="M15" s="21">
        <v>25</v>
      </c>
      <c r="N15" s="21">
        <v>168</v>
      </c>
      <c r="O15" s="21">
        <f t="shared" si="9"/>
        <v>0.34453127777777781</v>
      </c>
      <c r="P15" s="21">
        <v>0.26</v>
      </c>
      <c r="Q15" s="21">
        <v>62.015630000000002</v>
      </c>
      <c r="R15" s="21">
        <v>523.80499999999995</v>
      </c>
      <c r="T15" s="29">
        <v>43211.270833333336</v>
      </c>
      <c r="U15" s="21">
        <v>510</v>
      </c>
      <c r="V15" s="21">
        <v>269</v>
      </c>
      <c r="W15" s="21" t="s">
        <v>42</v>
      </c>
      <c r="X15" s="21">
        <v>25</v>
      </c>
      <c r="Y15" s="21">
        <v>200</v>
      </c>
      <c r="Z15" s="21">
        <f t="shared" si="10"/>
        <v>0.32647572222222221</v>
      </c>
      <c r="AA15" s="21">
        <v>0.27</v>
      </c>
      <c r="AB15" s="21">
        <v>58.765630000000002</v>
      </c>
      <c r="AC15" s="21">
        <v>409.827</v>
      </c>
      <c r="AH15" s="21">
        <f t="shared" si="11"/>
        <v>0.33550350000000001</v>
      </c>
      <c r="AI15" s="21">
        <f t="shared" si="0"/>
        <v>1.6300154320987738E-4</v>
      </c>
      <c r="AJ15" s="21">
        <f t="shared" si="12"/>
        <v>1.2767205771423807E-2</v>
      </c>
      <c r="AK15" s="21">
        <f t="shared" si="1"/>
        <v>60.390630000000002</v>
      </c>
      <c r="AL15" s="21">
        <f t="shared" si="2"/>
        <v>5.28125</v>
      </c>
      <c r="AM15" s="21">
        <f t="shared" si="13"/>
        <v>2.2980970388562794</v>
      </c>
      <c r="AN15" s="21">
        <f t="shared" si="3"/>
        <v>0.26500000000000001</v>
      </c>
      <c r="AO15" s="21">
        <f t="shared" si="4"/>
        <v>5.000000000000009E-5</v>
      </c>
      <c r="AP15" s="21">
        <f t="shared" si="14"/>
        <v>7.0710678118654814E-3</v>
      </c>
      <c r="AQ15" s="21">
        <f t="shared" si="15"/>
        <v>0.33550350000000001</v>
      </c>
      <c r="AR15" s="21">
        <f t="shared" si="16"/>
        <v>1.6300154320987738E-4</v>
      </c>
      <c r="AS15" s="21">
        <f t="shared" si="17"/>
        <v>1.2767205771423807E-2</v>
      </c>
      <c r="AT15" s="21">
        <f t="shared" si="18"/>
        <v>0.34453127777777781</v>
      </c>
      <c r="AU15" s="21">
        <f t="shared" si="19"/>
        <v>0.32647572222222221</v>
      </c>
    </row>
    <row r="16" spans="1:47" x14ac:dyDescent="0.5">
      <c r="A16" s="30">
        <v>43210.151388888888</v>
      </c>
      <c r="B16" s="21">
        <v>8</v>
      </c>
      <c r="C16" s="21">
        <v>1</v>
      </c>
      <c r="D16" s="21">
        <v>1</v>
      </c>
      <c r="E16" s="21">
        <v>1</v>
      </c>
      <c r="F16" s="21">
        <f t="shared" si="5"/>
        <v>1</v>
      </c>
      <c r="G16" s="21">
        <f t="shared" si="6"/>
        <v>1</v>
      </c>
      <c r="H16" s="21">
        <f t="shared" si="7"/>
        <v>1</v>
      </c>
      <c r="I16" s="21">
        <f t="shared" si="8"/>
        <v>1</v>
      </c>
      <c r="J16" s="21">
        <v>505</v>
      </c>
      <c r="K16" s="21">
        <v>247</v>
      </c>
      <c r="L16" s="21" t="s">
        <v>35</v>
      </c>
      <c r="M16" s="21">
        <v>77</v>
      </c>
      <c r="N16" s="21">
        <v>264</v>
      </c>
      <c r="O16" s="21">
        <f t="shared" si="9"/>
        <v>0.36032988888888889</v>
      </c>
      <c r="P16" s="21">
        <v>0.27</v>
      </c>
      <c r="Q16" s="21">
        <v>64.859380000000002</v>
      </c>
      <c r="R16" s="21">
        <v>421.73099999999999</v>
      </c>
      <c r="T16" s="29">
        <v>43211.244444444441</v>
      </c>
      <c r="U16" s="21">
        <v>505</v>
      </c>
      <c r="V16" s="21">
        <v>249</v>
      </c>
      <c r="W16" s="21" t="s">
        <v>42</v>
      </c>
      <c r="X16" s="21">
        <v>25</v>
      </c>
      <c r="Y16" s="21">
        <v>220</v>
      </c>
      <c r="Z16" s="21">
        <f t="shared" si="10"/>
        <v>0.37482638888888886</v>
      </c>
      <c r="AA16" s="21">
        <v>0.27</v>
      </c>
      <c r="AB16" s="21">
        <v>67.46875</v>
      </c>
      <c r="AC16" s="21">
        <v>380.10700000000003</v>
      </c>
      <c r="AH16" s="21">
        <f t="shared" si="11"/>
        <v>0.36757813888888891</v>
      </c>
      <c r="AI16" s="21">
        <f t="shared" si="0"/>
        <v>1.0507425612499952E-4</v>
      </c>
      <c r="AJ16" s="21">
        <f t="shared" si="12"/>
        <v>1.0250573453470763E-2</v>
      </c>
      <c r="AK16" s="21">
        <f t="shared" si="1"/>
        <v>66.164064999999994</v>
      </c>
      <c r="AL16" s="21">
        <f t="shared" si="2"/>
        <v>3.4044058984499959</v>
      </c>
      <c r="AM16" s="21">
        <f t="shared" si="13"/>
        <v>1.8451032216247405</v>
      </c>
      <c r="AN16" s="21">
        <f t="shared" si="3"/>
        <v>0.27</v>
      </c>
      <c r="AO16" s="21">
        <f t="shared" si="4"/>
        <v>0</v>
      </c>
      <c r="AP16" s="21">
        <f t="shared" si="14"/>
        <v>0</v>
      </c>
      <c r="AQ16" s="21">
        <f t="shared" si="15"/>
        <v>0.36757813888888891</v>
      </c>
      <c r="AR16" s="21">
        <f t="shared" si="16"/>
        <v>1.0507425612499952E-4</v>
      </c>
      <c r="AS16" s="21">
        <f>SQRT(AR16)</f>
        <v>1.0250573453470763E-2</v>
      </c>
      <c r="AT16" s="21">
        <f t="shared" si="18"/>
        <v>0.36032988888888889</v>
      </c>
      <c r="AU16" s="21">
        <f t="shared" si="19"/>
        <v>0.37482638888888886</v>
      </c>
    </row>
    <row r="17" spans="1:44" x14ac:dyDescent="0.5">
      <c r="A17" s="31"/>
      <c r="B17" s="31"/>
      <c r="C17" s="31"/>
      <c r="D17" s="31"/>
      <c r="E17" s="31"/>
      <c r="F17" s="31"/>
      <c r="G17" s="31"/>
      <c r="H17" s="31"/>
      <c r="I17" s="31"/>
      <c r="J17" s="32"/>
      <c r="K17" s="32"/>
      <c r="L17" s="32"/>
      <c r="AH17" s="21" t="s">
        <v>49</v>
      </c>
      <c r="AI17" s="21">
        <f>SUM(AI9:AI16)/8</f>
        <v>2.6373135265972208E-4</v>
      </c>
      <c r="AK17" s="21" t="s">
        <v>49</v>
      </c>
      <c r="AL17" s="21">
        <f>SUM(AL9:AL16)/8</f>
        <v>8.5448958261749972</v>
      </c>
      <c r="AN17" s="21" t="s">
        <v>49</v>
      </c>
      <c r="AO17" s="21">
        <f>SUM(AO9:AO16)/8</f>
        <v>1.8750000000000036E-5</v>
      </c>
      <c r="AQ17" s="21" t="s">
        <v>49</v>
      </c>
      <c r="AR17" s="21">
        <f>SUM(AR9:AR16)/8</f>
        <v>2.6373135265972208E-4</v>
      </c>
    </row>
    <row r="18" spans="1:44" s="34" customFormat="1" x14ac:dyDescent="0.5">
      <c r="A18" s="33"/>
      <c r="B18" s="33"/>
      <c r="C18" s="33"/>
      <c r="D18" s="33"/>
      <c r="E18" s="33"/>
      <c r="F18" s="33"/>
      <c r="G18" s="33"/>
      <c r="H18" s="33"/>
      <c r="I18" s="33"/>
      <c r="AH18" s="34" t="s">
        <v>50</v>
      </c>
      <c r="AI18" s="34">
        <f>SQRT(AI17)</f>
        <v>1.6239807654640559E-2</v>
      </c>
      <c r="AK18" s="34" t="s">
        <v>50</v>
      </c>
      <c r="AL18" s="34">
        <f>SQRT(AL17)</f>
        <v>2.9231653778353008</v>
      </c>
      <c r="AN18" s="34" t="s">
        <v>50</v>
      </c>
      <c r="AO18" s="34">
        <f>SQRT(AO17)</f>
        <v>4.3301270189221976E-3</v>
      </c>
      <c r="AQ18" s="34" t="s">
        <v>50</v>
      </c>
      <c r="AR18" s="34">
        <f>SQRT(AR17)</f>
        <v>1.6239807654640559E-2</v>
      </c>
    </row>
    <row r="19" spans="1:44" s="34" customFormat="1" x14ac:dyDescent="0.5">
      <c r="C19" s="35"/>
      <c r="E19" s="36"/>
      <c r="H19" s="36"/>
      <c r="I19" s="35"/>
      <c r="AH19" s="34" t="s">
        <v>51</v>
      </c>
      <c r="AI19" s="34">
        <f>AI18/SQRT(16)</f>
        <v>4.0599519136601397E-3</v>
      </c>
      <c r="AK19" s="34" t="s">
        <v>51</v>
      </c>
      <c r="AL19" s="34">
        <f>AL18/SQRT(16)</f>
        <v>0.73079134445882521</v>
      </c>
      <c r="AN19" s="34" t="s">
        <v>51</v>
      </c>
      <c r="AO19" s="34">
        <f>AO18/SQRT(16)</f>
        <v>1.0825317547305494E-3</v>
      </c>
      <c r="AQ19" s="34" t="s">
        <v>51</v>
      </c>
      <c r="AR19" s="34">
        <f>AR18/SQRT(16)</f>
        <v>4.0599519136601397E-3</v>
      </c>
    </row>
    <row r="20" spans="1:44" s="34" customFormat="1" x14ac:dyDescent="0.5">
      <c r="C20" s="35"/>
      <c r="E20" s="36"/>
      <c r="H20" s="36"/>
      <c r="I20" s="35"/>
      <c r="AE20" s="36"/>
      <c r="AH20" s="36" t="s">
        <v>52</v>
      </c>
      <c r="AI20" s="34">
        <f>2*AI19</f>
        <v>8.1199038273202795E-3</v>
      </c>
      <c r="AK20" s="36" t="s">
        <v>52</v>
      </c>
      <c r="AL20" s="34">
        <f>2*AL19</f>
        <v>1.4615826889176504</v>
      </c>
      <c r="AN20" s="36" t="s">
        <v>52</v>
      </c>
      <c r="AO20" s="34">
        <f>2*AO19</f>
        <v>2.1650635094610988E-3</v>
      </c>
      <c r="AQ20" s="36" t="s">
        <v>52</v>
      </c>
      <c r="AR20" s="34">
        <f>2*AR19</f>
        <v>8.1199038273202795E-3</v>
      </c>
    </row>
    <row r="21" spans="1:44" x14ac:dyDescent="0.5">
      <c r="A21" s="34"/>
      <c r="B21" s="34"/>
      <c r="C21" s="35"/>
      <c r="D21" s="34"/>
      <c r="E21" s="34"/>
      <c r="F21" s="34"/>
      <c r="G21" s="34"/>
      <c r="H21" s="34"/>
      <c r="I21" s="35"/>
    </row>
    <row r="22" spans="1:44" x14ac:dyDescent="0.5">
      <c r="A22" s="34"/>
      <c r="B22" s="34"/>
      <c r="C22" s="35"/>
      <c r="D22" s="34"/>
      <c r="E22" s="34"/>
      <c r="F22" s="34"/>
      <c r="G22" s="34"/>
      <c r="H22" s="34"/>
      <c r="I22" s="35"/>
    </row>
    <row r="23" spans="1:44" x14ac:dyDescent="0.5">
      <c r="A23" s="34"/>
      <c r="B23" s="34"/>
      <c r="C23" s="35"/>
      <c r="D23" s="34"/>
      <c r="E23" s="34"/>
      <c r="F23" s="34"/>
      <c r="G23" s="34"/>
      <c r="H23" s="34"/>
      <c r="I23" s="35"/>
    </row>
    <row r="24" spans="1:44" x14ac:dyDescent="0.5">
      <c r="A24" s="31"/>
      <c r="B24" s="31"/>
      <c r="C24" s="31"/>
      <c r="D24" s="31"/>
      <c r="E24" s="31"/>
      <c r="F24" s="31"/>
      <c r="G24" s="31"/>
      <c r="H24" s="31"/>
      <c r="I24" s="31"/>
      <c r="J24" s="32"/>
      <c r="K24" s="32"/>
      <c r="L24" s="32"/>
    </row>
    <row r="25" spans="1:44" x14ac:dyDescent="0.5">
      <c r="A25" s="33"/>
      <c r="B25" s="33"/>
      <c r="C25" s="33"/>
      <c r="D25" s="33"/>
      <c r="E25" s="33"/>
      <c r="F25" s="33"/>
      <c r="G25" s="33"/>
      <c r="H25" s="33"/>
      <c r="I25" s="33"/>
    </row>
    <row r="26" spans="1:44" x14ac:dyDescent="0.5">
      <c r="A26" s="34"/>
      <c r="B26" s="34"/>
      <c r="C26" s="35"/>
      <c r="D26" s="34"/>
      <c r="E26" s="36"/>
      <c r="F26" s="35"/>
      <c r="G26" s="34"/>
      <c r="H26" s="36"/>
      <c r="I26" s="35"/>
    </row>
    <row r="27" spans="1:44" x14ac:dyDescent="0.5">
      <c r="A27" s="34"/>
      <c r="B27" s="34"/>
      <c r="C27" s="35"/>
      <c r="D27" s="34"/>
      <c r="E27" s="36"/>
      <c r="F27" s="35"/>
      <c r="G27" s="34"/>
      <c r="H27" s="36"/>
      <c r="I27" s="35"/>
    </row>
    <row r="28" spans="1:44" x14ac:dyDescent="0.5">
      <c r="A28" s="34"/>
      <c r="B28" s="34"/>
      <c r="C28" s="35"/>
      <c r="D28" s="34"/>
      <c r="E28" s="34"/>
      <c r="F28" s="35"/>
      <c r="G28" s="34"/>
      <c r="H28" s="34"/>
      <c r="I28" s="35"/>
    </row>
    <row r="29" spans="1:44" x14ac:dyDescent="0.5">
      <c r="A29" s="34"/>
      <c r="B29" s="34"/>
      <c r="C29" s="35"/>
      <c r="D29" s="34"/>
      <c r="E29" s="34"/>
      <c r="F29" s="35"/>
      <c r="G29" s="34"/>
      <c r="H29" s="34"/>
      <c r="I29" s="35"/>
    </row>
    <row r="30" spans="1:44" x14ac:dyDescent="0.5">
      <c r="A30" s="34"/>
      <c r="B30" s="34"/>
      <c r="C30" s="35"/>
      <c r="D30" s="34"/>
      <c r="E30" s="34"/>
      <c r="F30" s="35"/>
      <c r="G30" s="34"/>
      <c r="H30" s="34"/>
      <c r="I30" s="35"/>
    </row>
    <row r="31" spans="1:44" x14ac:dyDescent="0.5">
      <c r="A31" s="31"/>
      <c r="B31" s="31"/>
      <c r="C31" s="31"/>
      <c r="D31" s="31"/>
      <c r="E31" s="31"/>
      <c r="F31" s="31"/>
      <c r="G31" s="31"/>
      <c r="H31" s="31"/>
      <c r="I31" s="31"/>
      <c r="J31" s="32"/>
      <c r="K31" s="32"/>
      <c r="L31" s="32"/>
    </row>
    <row r="32" spans="1:44" x14ac:dyDescent="0.5">
      <c r="A32" s="33"/>
      <c r="B32" s="33"/>
      <c r="C32" s="33"/>
      <c r="D32" s="33"/>
      <c r="E32" s="33"/>
      <c r="F32" s="33"/>
      <c r="G32" s="33"/>
      <c r="H32" s="33"/>
      <c r="I32" s="33"/>
    </row>
    <row r="33" spans="1:18" x14ac:dyDescent="0.5">
      <c r="A33" s="34"/>
      <c r="B33" s="34"/>
      <c r="C33" s="35"/>
      <c r="D33" s="34"/>
      <c r="E33" s="36"/>
      <c r="F33" s="35"/>
      <c r="G33" s="34"/>
      <c r="H33" s="36"/>
      <c r="I33" s="35"/>
    </row>
    <row r="34" spans="1:18" x14ac:dyDescent="0.5">
      <c r="A34" s="34"/>
      <c r="B34" s="34"/>
      <c r="C34" s="35"/>
      <c r="D34" s="34"/>
      <c r="E34" s="36"/>
      <c r="F34" s="35"/>
      <c r="G34" s="34"/>
      <c r="H34" s="36"/>
      <c r="I34" s="35"/>
    </row>
    <row r="35" spans="1:18" x14ac:dyDescent="0.5">
      <c r="A35" s="34"/>
      <c r="B35" s="34"/>
      <c r="C35" s="35"/>
      <c r="D35" s="34"/>
      <c r="E35" s="34"/>
      <c r="F35" s="35"/>
      <c r="G35" s="34"/>
      <c r="H35" s="34"/>
      <c r="I35" s="35"/>
    </row>
    <row r="36" spans="1:18" x14ac:dyDescent="0.5">
      <c r="A36" s="34"/>
      <c r="B36" s="34"/>
      <c r="C36" s="35"/>
      <c r="D36" s="34"/>
      <c r="E36" s="34"/>
      <c r="F36" s="35"/>
      <c r="G36" s="34"/>
      <c r="H36" s="34"/>
      <c r="I36" s="35"/>
    </row>
    <row r="37" spans="1:18" x14ac:dyDescent="0.5">
      <c r="A37" s="34"/>
      <c r="B37" s="34"/>
      <c r="C37" s="35"/>
      <c r="D37" s="34"/>
      <c r="E37" s="34"/>
      <c r="F37" s="35"/>
      <c r="G37" s="34"/>
      <c r="H37" s="34"/>
      <c r="I37" s="35"/>
    </row>
    <row r="40" spans="1:18" x14ac:dyDescent="0.5">
      <c r="A40" s="75"/>
      <c r="B40" s="76"/>
      <c r="C40" s="76"/>
      <c r="D40" s="76"/>
      <c r="E40" s="76"/>
      <c r="F40" s="77"/>
      <c r="H40" s="75"/>
      <c r="I40" s="76"/>
      <c r="J40" s="76"/>
      <c r="K40" s="76"/>
      <c r="L40" s="76"/>
      <c r="M40" s="76"/>
      <c r="N40" s="76"/>
      <c r="O40" s="76"/>
      <c r="P40" s="76"/>
      <c r="Q40" s="76"/>
      <c r="R40" s="77"/>
    </row>
    <row r="41" spans="1:18" x14ac:dyDescent="0.5">
      <c r="A41" s="37"/>
      <c r="B41" s="34"/>
      <c r="C41" s="34"/>
      <c r="D41" s="34"/>
      <c r="E41" s="34"/>
      <c r="F41" s="38"/>
      <c r="H41" s="37"/>
      <c r="I41" s="34"/>
      <c r="J41" s="34"/>
      <c r="K41" s="34"/>
      <c r="L41" s="34"/>
      <c r="M41" s="34"/>
      <c r="N41" s="34"/>
      <c r="O41" s="34"/>
      <c r="P41" s="34"/>
      <c r="Q41" s="34"/>
      <c r="R41" s="38"/>
    </row>
    <row r="42" spans="1:18" x14ac:dyDescent="0.5">
      <c r="A42" s="37"/>
      <c r="B42" s="34"/>
      <c r="C42" s="34"/>
      <c r="D42" s="34"/>
      <c r="E42" s="34"/>
      <c r="F42" s="38"/>
      <c r="H42" s="37"/>
      <c r="I42" s="34"/>
      <c r="J42" s="34"/>
      <c r="K42" s="39"/>
      <c r="L42" s="34"/>
      <c r="M42" s="34"/>
      <c r="N42" s="39"/>
      <c r="O42" s="34"/>
      <c r="P42" s="34"/>
      <c r="Q42" s="39"/>
      <c r="R42" s="38"/>
    </row>
    <row r="43" spans="1:18" x14ac:dyDescent="0.5">
      <c r="A43" s="37"/>
      <c r="B43" s="34"/>
      <c r="C43" s="34"/>
      <c r="D43" s="34"/>
      <c r="E43" s="34"/>
      <c r="F43" s="38"/>
      <c r="H43" s="37"/>
      <c r="I43" s="34"/>
      <c r="J43" s="34"/>
      <c r="K43" s="39"/>
      <c r="L43" s="34"/>
      <c r="M43" s="34"/>
      <c r="N43" s="34"/>
      <c r="O43" s="34"/>
      <c r="P43" s="34"/>
      <c r="Q43" s="34"/>
      <c r="R43" s="38"/>
    </row>
    <row r="44" spans="1:18" x14ac:dyDescent="0.5">
      <c r="A44" s="37"/>
      <c r="B44" s="34"/>
      <c r="C44" s="34"/>
      <c r="D44" s="34"/>
      <c r="E44" s="34"/>
      <c r="F44" s="38"/>
      <c r="H44" s="37"/>
      <c r="I44" s="34"/>
      <c r="J44" s="34"/>
      <c r="K44" s="39"/>
      <c r="L44" s="34"/>
      <c r="M44" s="34"/>
      <c r="N44" s="34"/>
      <c r="O44" s="34"/>
      <c r="P44" s="34"/>
      <c r="Q44" s="34"/>
      <c r="R44" s="38"/>
    </row>
    <row r="45" spans="1:18" x14ac:dyDescent="0.5">
      <c r="A45" s="37"/>
      <c r="B45" s="34"/>
      <c r="C45" s="34"/>
      <c r="D45" s="34"/>
      <c r="E45" s="34"/>
      <c r="F45" s="38"/>
      <c r="H45" s="37"/>
      <c r="I45" s="34"/>
      <c r="J45" s="34"/>
      <c r="K45" s="34"/>
      <c r="L45" s="34"/>
      <c r="M45" s="34"/>
      <c r="N45" s="34"/>
      <c r="O45" s="34"/>
      <c r="P45" s="34"/>
      <c r="Q45" s="34"/>
      <c r="R45" s="38"/>
    </row>
    <row r="46" spans="1:18" x14ac:dyDescent="0.5">
      <c r="A46" s="37"/>
      <c r="B46" s="34"/>
      <c r="C46" s="34"/>
      <c r="D46" s="34"/>
      <c r="E46" s="34"/>
      <c r="F46" s="38"/>
      <c r="H46" s="37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18" x14ac:dyDescent="0.5">
      <c r="A47" s="72"/>
      <c r="B47" s="73"/>
      <c r="C47" s="73"/>
      <c r="D47" s="73"/>
      <c r="E47" s="73"/>
      <c r="F47" s="74"/>
      <c r="H47" s="37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x14ac:dyDescent="0.5">
      <c r="A48" s="37"/>
      <c r="B48" s="34"/>
      <c r="C48" s="34"/>
      <c r="D48" s="34"/>
      <c r="E48" s="34"/>
      <c r="F48" s="38"/>
      <c r="H48" s="37"/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x14ac:dyDescent="0.5">
      <c r="A49" s="37"/>
      <c r="B49" s="34"/>
      <c r="C49" s="34"/>
      <c r="D49" s="34"/>
      <c r="E49" s="34"/>
      <c r="F49" s="38"/>
      <c r="H49" s="37"/>
      <c r="I49" s="34"/>
      <c r="J49" s="34"/>
      <c r="K49" s="34"/>
      <c r="L49" s="34"/>
      <c r="M49" s="34"/>
      <c r="N49" s="34"/>
      <c r="O49" s="34"/>
      <c r="P49" s="34"/>
      <c r="Q49" s="39"/>
      <c r="R49" s="38"/>
    </row>
    <row r="50" spans="1:18" x14ac:dyDescent="0.5">
      <c r="A50" s="37"/>
      <c r="B50" s="34"/>
      <c r="C50" s="34"/>
      <c r="D50" s="34"/>
      <c r="E50" s="34"/>
      <c r="F50" s="38"/>
      <c r="H50" s="37"/>
      <c r="I50" s="34"/>
      <c r="J50" s="34"/>
      <c r="K50" s="34"/>
      <c r="L50" s="34"/>
      <c r="M50" s="34"/>
      <c r="N50" s="34"/>
      <c r="O50" s="34"/>
      <c r="P50" s="34"/>
      <c r="Q50" s="39"/>
      <c r="R50" s="38"/>
    </row>
    <row r="51" spans="1:18" x14ac:dyDescent="0.5">
      <c r="A51" s="37"/>
      <c r="B51" s="34"/>
      <c r="C51" s="34"/>
      <c r="D51" s="34"/>
      <c r="E51" s="34"/>
      <c r="F51" s="38"/>
      <c r="H51" s="37"/>
      <c r="I51" s="34"/>
      <c r="J51" s="34"/>
      <c r="K51" s="34"/>
      <c r="L51" s="34"/>
      <c r="M51" s="34"/>
      <c r="N51" s="34"/>
      <c r="O51" s="34"/>
      <c r="P51" s="34"/>
      <c r="Q51" s="34"/>
      <c r="R51" s="38"/>
    </row>
    <row r="52" spans="1:18" x14ac:dyDescent="0.5">
      <c r="A52" s="37"/>
      <c r="B52" s="34"/>
      <c r="C52" s="34"/>
      <c r="D52" s="34"/>
      <c r="E52" s="34"/>
      <c r="F52" s="38"/>
      <c r="H52" s="37"/>
      <c r="I52" s="34"/>
      <c r="J52" s="34"/>
      <c r="K52" s="34"/>
      <c r="L52" s="34"/>
      <c r="M52" s="34"/>
      <c r="N52" s="34"/>
      <c r="O52" s="34"/>
      <c r="P52" s="34"/>
      <c r="Q52" s="34"/>
      <c r="R52" s="38"/>
    </row>
    <row r="53" spans="1:18" x14ac:dyDescent="0.5">
      <c r="A53" s="37"/>
      <c r="B53" s="34"/>
      <c r="C53" s="34"/>
      <c r="D53" s="34"/>
      <c r="E53" s="34"/>
      <c r="F53" s="38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8"/>
    </row>
    <row r="54" spans="1:18" x14ac:dyDescent="0.5">
      <c r="A54" s="72" t="s">
        <v>48</v>
      </c>
      <c r="B54" s="73"/>
      <c r="C54" s="73"/>
      <c r="D54" s="73"/>
      <c r="E54" s="73"/>
      <c r="F54" s="74"/>
      <c r="H54" s="37"/>
      <c r="I54" s="34"/>
      <c r="J54" s="34"/>
      <c r="K54" s="34"/>
      <c r="L54" s="34"/>
      <c r="M54" s="34"/>
      <c r="N54" s="34"/>
      <c r="O54" s="34"/>
      <c r="P54" s="34"/>
      <c r="Q54" s="34"/>
      <c r="R54" s="38"/>
    </row>
    <row r="55" spans="1:18" x14ac:dyDescent="0.5">
      <c r="A55" s="37" t="s">
        <v>59</v>
      </c>
      <c r="B55" s="34"/>
      <c r="C55" s="34" t="s">
        <v>60</v>
      </c>
      <c r="D55" s="34"/>
      <c r="E55" s="34" t="s">
        <v>61</v>
      </c>
      <c r="F55" s="38"/>
      <c r="H55" s="37" t="s">
        <v>48</v>
      </c>
      <c r="I55" s="34"/>
      <c r="J55" s="34"/>
      <c r="K55" s="34"/>
      <c r="L55" s="34"/>
      <c r="M55" s="34"/>
      <c r="N55" s="34"/>
      <c r="O55" s="34"/>
      <c r="P55" s="34"/>
      <c r="Q55" s="34"/>
      <c r="R55" s="38"/>
    </row>
    <row r="56" spans="1:18" x14ac:dyDescent="0.5">
      <c r="A56" s="37" t="s">
        <v>57</v>
      </c>
      <c r="B56" s="34">
        <f>AVERAGE(O9:O16,Z9:Z16)</f>
        <v>0.36947023611111113</v>
      </c>
      <c r="C56" s="34" t="s">
        <v>62</v>
      </c>
      <c r="D56" s="34">
        <f>AVERAGE(O9:O16,Z9:Z16)</f>
        <v>0.36947023611111113</v>
      </c>
      <c r="E56" s="34" t="s">
        <v>64</v>
      </c>
      <c r="F56" s="38">
        <f>AVERAGE(O9:O16,Z9:Z16)</f>
        <v>0.36947023611111113</v>
      </c>
      <c r="H56" s="37" t="s">
        <v>73</v>
      </c>
      <c r="I56" s="34">
        <f>B56</f>
        <v>0.36947023611111113</v>
      </c>
      <c r="J56" s="34" t="s">
        <v>76</v>
      </c>
      <c r="K56" s="34">
        <f>B57</f>
        <v>-1.4486444444444413E-2</v>
      </c>
      <c r="L56" s="34" t="s">
        <v>70</v>
      </c>
      <c r="M56" s="34" t="s">
        <v>76</v>
      </c>
      <c r="N56" s="34">
        <f>B58</f>
        <v>9.8876805555555003E-3</v>
      </c>
      <c r="O56" s="34" t="s">
        <v>71</v>
      </c>
      <c r="P56" s="34" t="s">
        <v>76</v>
      </c>
      <c r="Q56" s="39">
        <f>B59</f>
        <v>-4.5239583333333555E-3</v>
      </c>
      <c r="R56" s="38" t="s">
        <v>72</v>
      </c>
    </row>
    <row r="57" spans="1:18" x14ac:dyDescent="0.5">
      <c r="A57" s="37" t="s">
        <v>66</v>
      </c>
      <c r="B57" s="34">
        <f>AVERAGE(O10,O12,O15:O16,Z10,Z12,Z15:Z16)-AVERAGE(O9,O11,O13:O14,Z9,Z11,Z13:Z14)</f>
        <v>-1.4486444444444413E-2</v>
      </c>
      <c r="C57" s="34" t="s">
        <v>66</v>
      </c>
      <c r="D57" s="34">
        <f>AVERAGE(O10,O12,O15:O16,Z10,Z12,Z15:Z16)-AVERAGE(O9,O11,O13:O14,Z9,Z11,Z13:Z14)</f>
        <v>-1.4486444444444413E-2</v>
      </c>
      <c r="E57" s="34" t="s">
        <v>69</v>
      </c>
      <c r="F57" s="38">
        <f>AVERAGE(O11:O12,O14,O16,Z11:Z12,Z14,Z16)-AVERAGE(O9:O10,O13,O15,Z9:Z10,Z13,Z15)</f>
        <v>9.8876805555555003E-3</v>
      </c>
      <c r="H57" s="37" t="s">
        <v>74</v>
      </c>
      <c r="I57" s="34">
        <f>D56</f>
        <v>0.36947023611111113</v>
      </c>
      <c r="J57" s="34" t="s">
        <v>76</v>
      </c>
      <c r="K57" s="34">
        <f>D57</f>
        <v>-1.4486444444444413E-2</v>
      </c>
      <c r="L57" s="34" t="s">
        <v>70</v>
      </c>
      <c r="M57" s="34" t="s">
        <v>76</v>
      </c>
      <c r="N57" s="34">
        <f>D58</f>
        <v>-2.0494444444444482E-2</v>
      </c>
      <c r="O57" s="34" t="s">
        <v>77</v>
      </c>
      <c r="P57" s="34" t="s">
        <v>76</v>
      </c>
      <c r="Q57" s="39">
        <f>D59</f>
        <v>-8.7794444444438957E-4</v>
      </c>
      <c r="R57" s="38" t="s">
        <v>78</v>
      </c>
    </row>
    <row r="58" spans="1:18" x14ac:dyDescent="0.5">
      <c r="A58" s="37" t="s">
        <v>67</v>
      </c>
      <c r="B58" s="34">
        <f>AVERAGE(O11:O12,O14,O16,Z11:Z12,Z14,Z16)-AVERAGE(O9:O10,O13,O15,Z9:Z10,Z13,Z15)</f>
        <v>9.8876805555555003E-3</v>
      </c>
      <c r="C58" s="34" t="s">
        <v>68</v>
      </c>
      <c r="D58" s="34">
        <f>AVERAGE(O13:O16,Z13:Z16)-AVERAGE(O9:O12,Z9:Z12)</f>
        <v>-2.0494444444444482E-2</v>
      </c>
      <c r="E58" s="34" t="s">
        <v>68</v>
      </c>
      <c r="F58" s="38">
        <f>AVERAGE(O13:O16,Z13:Z16)-AVERAGE(O9:O12,Z9:Z12)</f>
        <v>-2.0494444444444482E-2</v>
      </c>
      <c r="H58" s="40" t="s">
        <v>75</v>
      </c>
      <c r="I58" s="41">
        <f>F56</f>
        <v>0.36947023611111113</v>
      </c>
      <c r="J58" s="41" t="s">
        <v>76</v>
      </c>
      <c r="K58" s="41">
        <f>F57</f>
        <v>9.8876805555555003E-3</v>
      </c>
      <c r="L58" s="41" t="s">
        <v>71</v>
      </c>
      <c r="M58" s="41" t="s">
        <v>76</v>
      </c>
      <c r="N58" s="41">
        <f>F58</f>
        <v>-2.0494444444444482E-2</v>
      </c>
      <c r="O58" s="41" t="s">
        <v>77</v>
      </c>
      <c r="P58" s="41" t="s">
        <v>76</v>
      </c>
      <c r="Q58" s="41">
        <f>F59</f>
        <v>1.8758319444444338E-2</v>
      </c>
      <c r="R58" s="42" t="s">
        <v>79</v>
      </c>
    </row>
    <row r="59" spans="1:18" x14ac:dyDescent="0.5">
      <c r="A59" s="40" t="s">
        <v>58</v>
      </c>
      <c r="B59" s="41">
        <f>AVERAGE(O9,O12:O13,O16,Z9,Z12:Z13,Z16)-AVERAGE(O10:O11,O14:O15,Z10:Z11,Z14:Z15)</f>
        <v>-4.5239583333333555E-3</v>
      </c>
      <c r="C59" s="41" t="s">
        <v>63</v>
      </c>
      <c r="D59" s="41">
        <f>AVERAGE(O9,O11,O15:O16,Z9,Z11,Z15:Z16)-AVERAGE(O10,O12:O14,Z10,Z12:Z14)</f>
        <v>-8.7794444444438957E-4</v>
      </c>
      <c r="E59" s="41" t="s">
        <v>63</v>
      </c>
      <c r="F59" s="42">
        <f>AVERAGE(O9:O10,O14,O16,Z9:Z10,Z14,Z16)-AVERAGE(O11:O13,O15,Z11:Z13,Z15)</f>
        <v>1.8758319444444338E-2</v>
      </c>
    </row>
    <row r="61" spans="1:18" x14ac:dyDescent="0.5">
      <c r="M61" s="21">
        <v>8.1199038273202795E-3</v>
      </c>
    </row>
  </sheetData>
  <mergeCells count="4">
    <mergeCell ref="A40:F40"/>
    <mergeCell ref="H40:R40"/>
    <mergeCell ref="A47:F47"/>
    <mergeCell ref="A54:F5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zoomScale="80" zoomScaleNormal="80" workbookViewId="0">
      <selection activeCell="B7" sqref="B7:AC19"/>
    </sheetView>
  </sheetViews>
  <sheetFormatPr defaultRowHeight="14.1" x14ac:dyDescent="0.5"/>
  <cols>
    <col min="1" max="1" width="17.734375" style="21" customWidth="1"/>
    <col min="2" max="2" width="4.7890625" style="21" customWidth="1"/>
    <col min="3" max="3" width="5.15625" style="21" customWidth="1"/>
    <col min="4" max="4" width="5.3125" style="21" customWidth="1"/>
    <col min="5" max="5" width="7.578125" style="21" customWidth="1"/>
    <col min="6" max="6" width="5.3125" style="21" customWidth="1"/>
    <col min="7" max="7" width="4.7890625" style="21" customWidth="1"/>
    <col min="8" max="8" width="5.5234375" style="21" customWidth="1"/>
    <col min="9" max="9" width="8.734375" style="21" hidden="1" customWidth="1"/>
    <col min="10" max="10" width="11.20703125" style="21" hidden="1" customWidth="1"/>
    <col min="11" max="11" width="17.1015625" style="21" hidden="1" customWidth="1"/>
    <col min="12" max="12" width="12.5234375" style="21" hidden="1" customWidth="1"/>
    <col min="13" max="13" width="13.83984375" style="21" hidden="1" customWidth="1"/>
    <col min="14" max="14" width="10" style="21" hidden="1" customWidth="1"/>
    <col min="15" max="15" width="24.3671875" style="21" hidden="1" customWidth="1"/>
    <col min="16" max="16" width="11.83984375" style="21" hidden="1" customWidth="1"/>
    <col min="17" max="17" width="12.83984375" style="21" customWidth="1"/>
    <col min="18" max="18" width="8.734375" style="21" hidden="1" customWidth="1"/>
    <col min="19" max="19" width="11.20703125" style="21" hidden="1" customWidth="1"/>
    <col min="20" max="20" width="17.1015625" style="21" hidden="1" customWidth="1"/>
    <col min="21" max="21" width="12.5234375" style="21" hidden="1" customWidth="1"/>
    <col min="22" max="22" width="13.83984375" style="21" hidden="1" customWidth="1"/>
    <col min="23" max="23" width="10" style="21" hidden="1" customWidth="1"/>
    <col min="24" max="24" width="24.47265625" style="21" hidden="1" customWidth="1"/>
    <col min="25" max="25" width="11.83984375" style="21" hidden="1" customWidth="1"/>
    <col min="26" max="26" width="13.5234375" style="21" customWidth="1"/>
    <col min="27" max="27" width="12.5234375" style="21" customWidth="1"/>
    <col min="28" max="28" width="11.68359375" style="21" customWidth="1"/>
    <col min="29" max="29" width="7.15625" style="21" customWidth="1"/>
    <col min="30" max="30" width="15.26171875" style="21" customWidth="1"/>
    <col min="31" max="31" width="11.68359375" style="21" customWidth="1"/>
    <col min="32" max="32" width="8.15625" style="21" customWidth="1"/>
    <col min="33" max="33" width="13.1015625" style="21" customWidth="1"/>
    <col min="34" max="34" width="11.68359375" style="21" customWidth="1"/>
    <col min="35" max="36" width="7.15625" style="21" customWidth="1"/>
    <col min="37" max="37" width="27.83984375" style="21" bestFit="1" customWidth="1"/>
    <col min="38" max="38" width="11.68359375" style="21" bestFit="1" customWidth="1"/>
    <col min="39" max="39" width="8.83984375" style="21"/>
    <col min="40" max="40" width="12.7890625" style="21" bestFit="1" customWidth="1"/>
    <col min="41" max="41" width="12.26171875" style="21" bestFit="1" customWidth="1"/>
    <col min="42" max="42" width="14.1015625" style="21" bestFit="1" customWidth="1"/>
    <col min="43" max="43" width="12.26171875" style="21" bestFit="1" customWidth="1"/>
    <col min="44" max="44" width="14.3671875" style="21" bestFit="1" customWidth="1"/>
    <col min="45" max="45" width="12.26171875" style="21" bestFit="1" customWidth="1"/>
    <col min="46" max="46" width="8.83984375" style="21"/>
    <col min="47" max="47" width="19.20703125" style="21" bestFit="1" customWidth="1"/>
    <col min="48" max="48" width="11.68359375" style="21" bestFit="1" customWidth="1"/>
    <col min="49" max="49" width="1.7890625" style="21" bestFit="1" customWidth="1"/>
    <col min="50" max="50" width="12.26171875" style="21" bestFit="1" customWidth="1"/>
    <col min="51" max="51" width="2.62890625" style="21" bestFit="1" customWidth="1"/>
    <col min="52" max="52" width="1.7890625" style="21" bestFit="1" customWidth="1"/>
    <col min="53" max="53" width="11.26171875" style="21" bestFit="1" customWidth="1"/>
    <col min="54" max="54" width="2.62890625" style="21" bestFit="1" customWidth="1"/>
    <col min="55" max="55" width="1.7890625" style="21" bestFit="1" customWidth="1"/>
    <col min="56" max="56" width="12.26171875" style="21" bestFit="1" customWidth="1"/>
    <col min="57" max="57" width="4.578125" style="21" bestFit="1" customWidth="1"/>
    <col min="58" max="16384" width="8.83984375" style="21"/>
  </cols>
  <sheetData>
    <row r="1" spans="1:57" x14ac:dyDescent="0.5">
      <c r="A1" s="21" t="s">
        <v>4</v>
      </c>
    </row>
    <row r="2" spans="1:57" x14ac:dyDescent="0.5">
      <c r="A2" s="21" t="s">
        <v>0</v>
      </c>
      <c r="B2" s="21" t="s">
        <v>5</v>
      </c>
      <c r="C2" s="21">
        <v>25</v>
      </c>
      <c r="AN2" s="75" t="s">
        <v>85</v>
      </c>
      <c r="AO2" s="76"/>
      <c r="AP2" s="76"/>
      <c r="AQ2" s="76"/>
      <c r="AR2" s="76"/>
      <c r="AS2" s="77"/>
      <c r="AU2" s="75" t="s">
        <v>80</v>
      </c>
      <c r="AV2" s="76"/>
      <c r="AW2" s="76"/>
      <c r="AX2" s="76"/>
      <c r="AY2" s="76"/>
      <c r="AZ2" s="76"/>
      <c r="BA2" s="76"/>
      <c r="BB2" s="76"/>
      <c r="BC2" s="76"/>
      <c r="BD2" s="76"/>
      <c r="BE2" s="77"/>
    </row>
    <row r="3" spans="1:57" x14ac:dyDescent="0.5">
      <c r="A3" s="21" t="s">
        <v>1</v>
      </c>
      <c r="B3" s="21" t="s">
        <v>5</v>
      </c>
      <c r="C3" s="21">
        <v>26</v>
      </c>
      <c r="AN3" s="37" t="s">
        <v>59</v>
      </c>
      <c r="AO3" s="34"/>
      <c r="AP3" s="34" t="s">
        <v>60</v>
      </c>
      <c r="AQ3" s="34"/>
      <c r="AR3" s="34" t="s">
        <v>61</v>
      </c>
      <c r="AS3" s="38"/>
      <c r="AU3" s="37" t="s">
        <v>85</v>
      </c>
      <c r="AV3" s="34"/>
      <c r="AW3" s="34"/>
      <c r="AX3" s="34"/>
      <c r="AY3" s="34"/>
      <c r="AZ3" s="34"/>
      <c r="BA3" s="34"/>
      <c r="BB3" s="34"/>
      <c r="BC3" s="34"/>
      <c r="BD3" s="34"/>
      <c r="BE3" s="38"/>
    </row>
    <row r="4" spans="1:57" x14ac:dyDescent="0.5">
      <c r="A4" s="21" t="s">
        <v>2</v>
      </c>
      <c r="B4" s="21" t="s">
        <v>5</v>
      </c>
      <c r="C4" s="21">
        <v>77</v>
      </c>
      <c r="AN4" s="37" t="s">
        <v>57</v>
      </c>
      <c r="AO4" s="34">
        <f>AVERAGE(Q9:Q16,Z9:Z16)</f>
        <v>0.15667472904199911</v>
      </c>
      <c r="AP4" s="34" t="s">
        <v>62</v>
      </c>
      <c r="AQ4" s="34">
        <f>AVERAGE(Q9:Q16,Z9:Z16)</f>
        <v>0.15667472904199911</v>
      </c>
      <c r="AR4" s="34" t="s">
        <v>64</v>
      </c>
      <c r="AS4" s="38">
        <f>AVERAGE(Q9:Q16,Z9:Z16)</f>
        <v>0.15667472904199911</v>
      </c>
      <c r="AU4" s="37" t="s">
        <v>73</v>
      </c>
      <c r="AV4" s="34">
        <f>AO4</f>
        <v>0.15667472904199911</v>
      </c>
      <c r="AW4" s="34" t="s">
        <v>76</v>
      </c>
      <c r="AX4" s="39">
        <f>AO5</f>
        <v>-8.3922666237744026E-3</v>
      </c>
      <c r="AY4" s="34" t="s">
        <v>70</v>
      </c>
      <c r="AZ4" s="34" t="s">
        <v>76</v>
      </c>
      <c r="BA4" s="39">
        <f>AO6</f>
        <v>-1.3219895779545132E-3</v>
      </c>
      <c r="BB4" s="34" t="s">
        <v>71</v>
      </c>
      <c r="BC4" s="34" t="s">
        <v>76</v>
      </c>
      <c r="BD4" s="39">
        <f>AO7</f>
        <v>8.6786479320053456E-3</v>
      </c>
      <c r="BE4" s="38" t="s">
        <v>72</v>
      </c>
    </row>
    <row r="5" spans="1:57" x14ac:dyDescent="0.5">
      <c r="A5" s="21" t="s">
        <v>3</v>
      </c>
      <c r="B5" s="21" t="s">
        <v>5</v>
      </c>
      <c r="C5" s="21">
        <v>237</v>
      </c>
      <c r="AN5" s="37" t="s">
        <v>66</v>
      </c>
      <c r="AO5" s="34">
        <f>AVERAGE(Q10,Q12,Q15:Q16,Z10,Z12,Z15:Z16)-AVERAGE(Q9,Q11,Q13:Q14,Z9,Z11,Z13:Z14)</f>
        <v>-8.3922666237744026E-3</v>
      </c>
      <c r="AP5" s="34" t="s">
        <v>66</v>
      </c>
      <c r="AQ5" s="34">
        <f>AVERAGE(Q10,Q12,Q15:Q16,Z10,Z12,Z15:Z16)-AVERAGE(Q9,Q11,Q13:Q14,Z9,Z11,Z13:Z14)</f>
        <v>-8.3922666237744026E-3</v>
      </c>
      <c r="AR5" s="34" t="s">
        <v>69</v>
      </c>
      <c r="AS5" s="38">
        <f>AVERAGE(Q11:Q12,Q14,Q16,Z11:Z12,Z14,Z16)-AVERAGE(Q9:Q10,Q13,Q15,Z9:Z10,Z13,Z15)</f>
        <v>-1.3219895779545132E-3</v>
      </c>
      <c r="AU5" s="37" t="s">
        <v>74</v>
      </c>
      <c r="AV5" s="34">
        <f>AQ4</f>
        <v>0.15667472904199911</v>
      </c>
      <c r="AW5" s="34" t="s">
        <v>76</v>
      </c>
      <c r="AX5" s="39">
        <f>AQ5</f>
        <v>-8.3922666237744026E-3</v>
      </c>
      <c r="AY5" s="34" t="s">
        <v>70</v>
      </c>
      <c r="AZ5" s="34" t="s">
        <v>76</v>
      </c>
      <c r="BA5" s="34">
        <f>AQ6</f>
        <v>3.7069910332598405E-2</v>
      </c>
      <c r="BB5" s="34" t="s">
        <v>77</v>
      </c>
      <c r="BC5" s="34" t="s">
        <v>76</v>
      </c>
      <c r="BD5" s="34">
        <f>AQ7</f>
        <v>-1.3422064271517709E-2</v>
      </c>
      <c r="BE5" s="38" t="s">
        <v>78</v>
      </c>
    </row>
    <row r="6" spans="1:57" x14ac:dyDescent="0.5">
      <c r="AN6" s="37" t="s">
        <v>67</v>
      </c>
      <c r="AO6" s="34">
        <f>AVERAGE(Q11:Q12,Q14,Q16,Z11:Z12,Z14,Z16)-AVERAGE(Q9:Q10,Q13,Q15,Z9:Z10,Z13,Z15)</f>
        <v>-1.3219895779545132E-3</v>
      </c>
      <c r="AP6" s="34" t="s">
        <v>68</v>
      </c>
      <c r="AQ6" s="34">
        <f>AVERAGE(Q13:Q16,Z13:Z16)-AVERAGE(Q9:Q12,Z9:Z12)</f>
        <v>3.7069910332598405E-2</v>
      </c>
      <c r="AR6" s="34" t="s">
        <v>68</v>
      </c>
      <c r="AS6" s="38">
        <f>AVERAGE(Q13:Q16,Z13:Z16)-AVERAGE(Q9:Q12,Z9:Z12)</f>
        <v>3.7069910332598405E-2</v>
      </c>
      <c r="AU6" s="37" t="s">
        <v>75</v>
      </c>
      <c r="AV6" s="34">
        <f>AS4</f>
        <v>0.15667472904199911</v>
      </c>
      <c r="AW6" s="34" t="s">
        <v>76</v>
      </c>
      <c r="AX6" s="39">
        <f>AS5</f>
        <v>-1.3219895779545132E-3</v>
      </c>
      <c r="AY6" s="34" t="s">
        <v>71</v>
      </c>
      <c r="AZ6" s="34" t="s">
        <v>76</v>
      </c>
      <c r="BA6" s="34">
        <f>AS6</f>
        <v>3.7069910332598405E-2</v>
      </c>
      <c r="BB6" s="34" t="s">
        <v>77</v>
      </c>
      <c r="BC6" s="34" t="s">
        <v>76</v>
      </c>
      <c r="BD6" s="34">
        <f>AS7</f>
        <v>-1.0789434195019543E-2</v>
      </c>
      <c r="BE6" s="38" t="s">
        <v>79</v>
      </c>
    </row>
    <row r="7" spans="1:57" s="44" customFormat="1" ht="14.4" customHeight="1" x14ac:dyDescent="0.5">
      <c r="A7" s="47"/>
      <c r="B7" s="78"/>
      <c r="C7" s="78"/>
      <c r="D7" s="78"/>
      <c r="E7" s="78"/>
      <c r="F7" s="78"/>
      <c r="G7" s="78"/>
      <c r="H7" s="78"/>
      <c r="I7" s="78" t="s">
        <v>100</v>
      </c>
      <c r="J7" s="78"/>
      <c r="K7" s="78"/>
      <c r="L7" s="78"/>
      <c r="M7" s="78"/>
      <c r="N7" s="78"/>
      <c r="O7" s="78"/>
      <c r="P7" s="78"/>
      <c r="Q7" s="78"/>
      <c r="R7" s="78" t="s">
        <v>101</v>
      </c>
      <c r="S7" s="78"/>
      <c r="T7" s="78"/>
      <c r="U7" s="78"/>
      <c r="V7" s="78"/>
      <c r="W7" s="78"/>
      <c r="X7" s="78"/>
      <c r="Y7" s="78"/>
      <c r="Z7" s="78"/>
      <c r="AA7" s="78" t="s">
        <v>92</v>
      </c>
      <c r="AB7" s="78"/>
      <c r="AC7" s="78"/>
      <c r="AD7" s="78" t="s">
        <v>48</v>
      </c>
      <c r="AE7" s="78"/>
      <c r="AF7" s="78"/>
      <c r="AG7" s="78" t="s">
        <v>82</v>
      </c>
      <c r="AH7" s="78"/>
      <c r="AI7" s="78"/>
      <c r="AJ7" s="78" t="s">
        <v>12</v>
      </c>
      <c r="AK7" s="78"/>
      <c r="AL7" s="78"/>
      <c r="AN7" s="45" t="s">
        <v>58</v>
      </c>
      <c r="AO7" s="36">
        <f>AVERAGE(Q9,Q12:Q13,Q16,AA9,AA12:AA13,AA16)-AVERAGE(Q10:Q11,Q14:Q15,AA10:AA11,AA14:AA15)</f>
        <v>8.6786479320053456E-3</v>
      </c>
      <c r="AP7" s="36" t="s">
        <v>63</v>
      </c>
      <c r="AQ7" s="36">
        <f>AVERAGE(Q9,Q11,Q15:Q16,AA9,AA11,AA15:AA16)-AVERAGE(Q10,Q12:Q14,AA10,AA12:AA14)</f>
        <v>-1.3422064271517709E-2</v>
      </c>
      <c r="AR7" s="36" t="s">
        <v>63</v>
      </c>
      <c r="AS7" s="46">
        <f>AVERAGE(Q9:Q10,Q14,Q16,AA9:AA10,AA14,AA16)-AVERAGE(Q11:Q13,Q15,AA11:AA13,AA15)</f>
        <v>-1.0789434195019543E-2</v>
      </c>
      <c r="AU7" s="45"/>
      <c r="AV7" s="36"/>
      <c r="AW7" s="36"/>
      <c r="AX7" s="36"/>
      <c r="AY7" s="36"/>
      <c r="AZ7" s="36"/>
      <c r="BA7" s="36"/>
      <c r="BB7" s="36"/>
      <c r="BC7" s="36"/>
      <c r="BD7" s="36"/>
      <c r="BE7" s="46"/>
    </row>
    <row r="8" spans="1:57" ht="16.5" x14ac:dyDescent="0.7">
      <c r="A8" s="48" t="s">
        <v>15</v>
      </c>
      <c r="B8" s="48" t="s">
        <v>6</v>
      </c>
      <c r="C8" s="48" t="s">
        <v>8</v>
      </c>
      <c r="D8" s="48" t="s">
        <v>7</v>
      </c>
      <c r="E8" s="48" t="s">
        <v>9</v>
      </c>
      <c r="F8" s="48" t="s">
        <v>87</v>
      </c>
      <c r="G8" s="48" t="s">
        <v>88</v>
      </c>
      <c r="H8" s="48" t="s">
        <v>89</v>
      </c>
      <c r="I8" s="48" t="s">
        <v>27</v>
      </c>
      <c r="J8" s="48" t="s">
        <v>28</v>
      </c>
      <c r="K8" s="48" t="s">
        <v>91</v>
      </c>
      <c r="L8" s="48" t="s">
        <v>29</v>
      </c>
      <c r="M8" s="48" t="s">
        <v>45</v>
      </c>
      <c r="N8" s="48" t="s">
        <v>12</v>
      </c>
      <c r="O8" s="48" t="s">
        <v>93</v>
      </c>
      <c r="P8" s="48" t="s">
        <v>26</v>
      </c>
      <c r="Q8" s="48" t="s">
        <v>92</v>
      </c>
      <c r="R8" s="48" t="s">
        <v>27</v>
      </c>
      <c r="S8" s="48" t="s">
        <v>28</v>
      </c>
      <c r="T8" s="48" t="s">
        <v>91</v>
      </c>
      <c r="U8" s="48" t="s">
        <v>29</v>
      </c>
      <c r="V8" s="48" t="s">
        <v>45</v>
      </c>
      <c r="W8" s="48" t="s">
        <v>12</v>
      </c>
      <c r="X8" s="48" t="s">
        <v>94</v>
      </c>
      <c r="Y8" s="48" t="s">
        <v>26</v>
      </c>
      <c r="Z8" s="48" t="s">
        <v>92</v>
      </c>
      <c r="AA8" s="48" t="s">
        <v>95</v>
      </c>
      <c r="AB8" s="48" t="s">
        <v>97</v>
      </c>
      <c r="AC8" s="48" t="s">
        <v>86</v>
      </c>
      <c r="AD8" s="48" t="s">
        <v>99</v>
      </c>
      <c r="AE8" s="48" t="s">
        <v>97</v>
      </c>
      <c r="AF8" s="48" t="s">
        <v>86</v>
      </c>
      <c r="AG8" s="48" t="s">
        <v>98</v>
      </c>
      <c r="AH8" s="48" t="s">
        <v>97</v>
      </c>
      <c r="AI8" s="48" t="s">
        <v>86</v>
      </c>
      <c r="AJ8" s="48" t="s">
        <v>18</v>
      </c>
      <c r="AK8" s="48" t="s">
        <v>19</v>
      </c>
      <c r="AL8" s="48" t="s">
        <v>86</v>
      </c>
      <c r="AN8" s="37"/>
      <c r="AO8" s="34"/>
      <c r="AP8" s="34"/>
      <c r="AQ8" s="34"/>
      <c r="AR8" s="34"/>
      <c r="AS8" s="38"/>
      <c r="AU8" s="37"/>
      <c r="AV8" s="34"/>
      <c r="AW8" s="34"/>
      <c r="AX8" s="34"/>
      <c r="AY8" s="34"/>
      <c r="AZ8" s="34"/>
      <c r="BA8" s="34"/>
      <c r="BB8" s="34"/>
      <c r="BC8" s="34"/>
      <c r="BD8" s="34"/>
      <c r="BE8" s="38"/>
    </row>
    <row r="9" spans="1:57" x14ac:dyDescent="0.5">
      <c r="A9" s="49">
        <v>43211.081944444442</v>
      </c>
      <c r="B9" s="48">
        <v>1</v>
      </c>
      <c r="C9" s="48">
        <v>-1</v>
      </c>
      <c r="D9" s="48">
        <v>-1</v>
      </c>
      <c r="E9" s="48">
        <v>-1</v>
      </c>
      <c r="F9" s="48">
        <f>C9*D9</f>
        <v>1</v>
      </c>
      <c r="G9" s="48">
        <f>C9*E9</f>
        <v>1</v>
      </c>
      <c r="H9" s="48">
        <f>D9*E9</f>
        <v>1</v>
      </c>
      <c r="I9" s="48">
        <v>513</v>
      </c>
      <c r="J9" s="48">
        <v>256</v>
      </c>
      <c r="K9" s="48">
        <v>77</v>
      </c>
      <c r="L9" s="48">
        <v>247</v>
      </c>
      <c r="M9" s="48">
        <f t="shared" ref="M9:M16" si="0">(I9-J9)-(L9-K9)</f>
        <v>87</v>
      </c>
      <c r="N9" s="48">
        <v>0.27</v>
      </c>
      <c r="O9" s="50">
        <v>72.46875</v>
      </c>
      <c r="P9" s="50">
        <v>619.596</v>
      </c>
      <c r="Q9" s="50">
        <f t="shared" ref="Q9:Q16" si="1">M9/P9</f>
        <v>0.14041407626905272</v>
      </c>
      <c r="R9" s="48">
        <v>512</v>
      </c>
      <c r="S9" s="48">
        <v>268</v>
      </c>
      <c r="T9" s="48">
        <v>25</v>
      </c>
      <c r="U9" s="48">
        <v>210</v>
      </c>
      <c r="V9" s="48">
        <f t="shared" ref="V9:V16" si="2">(R9-S9)-(U9-T9)</f>
        <v>59</v>
      </c>
      <c r="W9" s="48">
        <v>0.26</v>
      </c>
      <c r="X9" s="50">
        <v>66.03</v>
      </c>
      <c r="Y9" s="50">
        <v>446.14800000000002</v>
      </c>
      <c r="Z9" s="50">
        <f t="shared" ref="Z9:Z16" si="3">V9/Y9</f>
        <v>0.13224311215112472</v>
      </c>
      <c r="AA9" s="51">
        <f t="shared" ref="AA9:AA16" si="4">AVERAGE(Q9,Z9)</f>
        <v>0.13632859421008872</v>
      </c>
      <c r="AB9" s="51">
        <f t="shared" ref="AB9:AB16" si="5">((Q9-AA9)^2+(Z9-AA9)^2)/(2-1)</f>
        <v>3.3382327308233481E-5</v>
      </c>
      <c r="AC9" s="51">
        <f>SQRT(AB9)</f>
        <v>5.7777441366188486E-3</v>
      </c>
      <c r="AD9" s="51">
        <f t="shared" ref="AD9:AD16" si="6">AVERAGE(M9,V9)</f>
        <v>73</v>
      </c>
      <c r="AE9" s="51">
        <f t="shared" ref="AE9:AE16" si="7">((M9-AD9)^2+(V9-AD9)^2)/(2-1)</f>
        <v>392</v>
      </c>
      <c r="AF9" s="51">
        <f>SQRT(AE9)</f>
        <v>19.798989873223331</v>
      </c>
      <c r="AG9" s="51">
        <f t="shared" ref="AG9:AG16" si="8">AVERAGE(O9,X9)</f>
        <v>69.249375000000001</v>
      </c>
      <c r="AH9" s="51">
        <f t="shared" ref="AH9:AH16" si="9">((O9-AG9)^2+(X9-AG9)^2)/(2-1)</f>
        <v>20.728750781249992</v>
      </c>
      <c r="AI9" s="51">
        <f>SQRT(AH9)</f>
        <v>4.5528837873648822</v>
      </c>
      <c r="AJ9" s="51">
        <f t="shared" ref="AJ9:AJ16" si="10">AVERAGE(N9,W9)</f>
        <v>0.26500000000000001</v>
      </c>
      <c r="AK9" s="51">
        <f t="shared" ref="AK9:AK16" si="11">((N9-AJ9)^2+(W9-AJ9)^2)/(2-1)</f>
        <v>5.000000000000009E-5</v>
      </c>
      <c r="AL9" s="51">
        <f>SQRT(AK9)</f>
        <v>7.0710678118654814E-3</v>
      </c>
      <c r="AN9" s="72" t="s">
        <v>84</v>
      </c>
      <c r="AO9" s="73"/>
      <c r="AP9" s="73"/>
      <c r="AQ9" s="73"/>
      <c r="AR9" s="73"/>
      <c r="AS9" s="74"/>
      <c r="AU9" s="37"/>
      <c r="AV9" s="34"/>
      <c r="AW9" s="34"/>
      <c r="AX9" s="34"/>
      <c r="AY9" s="34"/>
      <c r="AZ9" s="34"/>
      <c r="BA9" s="34"/>
      <c r="BB9" s="34"/>
      <c r="BC9" s="34"/>
      <c r="BD9" s="34"/>
      <c r="BE9" s="38"/>
    </row>
    <row r="10" spans="1:57" x14ac:dyDescent="0.5">
      <c r="A10" s="52">
        <v>43211.094444444447</v>
      </c>
      <c r="B10" s="48">
        <v>2</v>
      </c>
      <c r="C10" s="48">
        <v>1</v>
      </c>
      <c r="D10" s="48">
        <v>-1</v>
      </c>
      <c r="E10" s="48">
        <v>-1</v>
      </c>
      <c r="F10" s="48">
        <f t="shared" ref="F10:F16" si="12">C10*D10</f>
        <v>-1</v>
      </c>
      <c r="G10" s="48">
        <f t="shared" ref="G10:G16" si="13">C10*E10</f>
        <v>-1</v>
      </c>
      <c r="H10" s="48">
        <f t="shared" ref="H10:H16" si="14">D10*E10</f>
        <v>1</v>
      </c>
      <c r="I10" s="48">
        <v>521</v>
      </c>
      <c r="J10" s="48">
        <v>261</v>
      </c>
      <c r="K10" s="48">
        <v>25</v>
      </c>
      <c r="L10" s="48">
        <v>220</v>
      </c>
      <c r="M10" s="48">
        <f t="shared" si="0"/>
        <v>65</v>
      </c>
      <c r="N10" s="48">
        <v>0.28000000000000003</v>
      </c>
      <c r="O10" s="50">
        <v>69.78125</v>
      </c>
      <c r="P10" s="50">
        <v>426.81900000000002</v>
      </c>
      <c r="Q10" s="50">
        <f t="shared" si="1"/>
        <v>0.15228937793303485</v>
      </c>
      <c r="R10" s="48">
        <v>516</v>
      </c>
      <c r="S10" s="48">
        <v>271</v>
      </c>
      <c r="T10" s="48">
        <v>25</v>
      </c>
      <c r="U10" s="48">
        <v>213</v>
      </c>
      <c r="V10" s="48">
        <f t="shared" si="2"/>
        <v>57</v>
      </c>
      <c r="W10" s="48">
        <f>0.27</f>
        <v>0.27</v>
      </c>
      <c r="X10" s="50">
        <v>68.31</v>
      </c>
      <c r="Y10" s="50">
        <v>537.67200000000003</v>
      </c>
      <c r="Z10" s="50">
        <f t="shared" si="3"/>
        <v>0.10601258759987502</v>
      </c>
      <c r="AA10" s="51">
        <f t="shared" si="4"/>
        <v>0.12915098276645492</v>
      </c>
      <c r="AB10" s="51">
        <f t="shared" si="5"/>
        <v>1.0707706617696176E-3</v>
      </c>
      <c r="AC10" s="51">
        <f t="shared" ref="AC10:AC16" si="15">SQRT(AB10)</f>
        <v>3.2722632256125386E-2</v>
      </c>
      <c r="AD10" s="51">
        <f t="shared" si="6"/>
        <v>61</v>
      </c>
      <c r="AE10" s="51">
        <f t="shared" si="7"/>
        <v>32</v>
      </c>
      <c r="AF10" s="51">
        <f t="shared" ref="AF10:AF16" si="16">SQRT(AE10)</f>
        <v>5.6568542494923806</v>
      </c>
      <c r="AG10" s="51">
        <f t="shared" si="8"/>
        <v>69.045625000000001</v>
      </c>
      <c r="AH10" s="51">
        <f t="shared" si="9"/>
        <v>1.0822882812499968</v>
      </c>
      <c r="AI10" s="51">
        <f t="shared" ref="AI10:AI16" si="17">SQRT(AH10)</f>
        <v>1.0403308518207064</v>
      </c>
      <c r="AJ10" s="51">
        <f t="shared" si="10"/>
        <v>0.27500000000000002</v>
      </c>
      <c r="AK10" s="51">
        <f t="shared" si="11"/>
        <v>5.000000000000009E-5</v>
      </c>
      <c r="AL10" s="51">
        <f t="shared" ref="AL10:AL16" si="18">SQRT(AK10)</f>
        <v>7.0710678118654814E-3</v>
      </c>
      <c r="AN10" s="37" t="s">
        <v>59</v>
      </c>
      <c r="AO10" s="34"/>
      <c r="AP10" s="34" t="s">
        <v>60</v>
      </c>
      <c r="AQ10" s="34"/>
      <c r="AR10" s="34" t="s">
        <v>61</v>
      </c>
      <c r="AS10" s="38"/>
      <c r="AU10" s="37" t="s">
        <v>84</v>
      </c>
      <c r="AV10" s="34"/>
      <c r="AW10" s="34"/>
      <c r="AX10" s="34"/>
      <c r="AY10" s="34"/>
      <c r="AZ10" s="34"/>
      <c r="BA10" s="34"/>
      <c r="BB10" s="34"/>
      <c r="BC10" s="34"/>
      <c r="BD10" s="34"/>
      <c r="BE10" s="38"/>
    </row>
    <row r="11" spans="1:57" x14ac:dyDescent="0.5">
      <c r="A11" s="52">
        <v>43210.19027777778</v>
      </c>
      <c r="B11" s="48">
        <v>3</v>
      </c>
      <c r="C11" s="48">
        <v>-1</v>
      </c>
      <c r="D11" s="48">
        <v>1</v>
      </c>
      <c r="E11" s="48">
        <v>-1</v>
      </c>
      <c r="F11" s="48">
        <f t="shared" si="12"/>
        <v>-1</v>
      </c>
      <c r="G11" s="48">
        <f t="shared" si="13"/>
        <v>1</v>
      </c>
      <c r="H11" s="48">
        <f t="shared" si="14"/>
        <v>-1</v>
      </c>
      <c r="I11" s="48">
        <v>513</v>
      </c>
      <c r="J11" s="48">
        <v>243</v>
      </c>
      <c r="K11" s="48">
        <v>25</v>
      </c>
      <c r="L11" s="48">
        <v>222</v>
      </c>
      <c r="M11" s="48">
        <f t="shared" si="0"/>
        <v>73</v>
      </c>
      <c r="N11" s="48">
        <v>0.28000000000000003</v>
      </c>
      <c r="O11" s="50">
        <v>70</v>
      </c>
      <c r="P11" s="50">
        <v>541.125</v>
      </c>
      <c r="Q11" s="50">
        <f t="shared" si="1"/>
        <v>0.13490413490413491</v>
      </c>
      <c r="R11" s="48">
        <v>508</v>
      </c>
      <c r="S11" s="48">
        <v>246</v>
      </c>
      <c r="T11" s="48">
        <v>25</v>
      </c>
      <c r="U11" s="48">
        <v>233</v>
      </c>
      <c r="V11" s="48">
        <f t="shared" si="2"/>
        <v>54</v>
      </c>
      <c r="W11" s="48">
        <v>0.28000000000000003</v>
      </c>
      <c r="X11" s="50">
        <v>69.796880000000002</v>
      </c>
      <c r="Y11" s="50">
        <v>376.97800000000001</v>
      </c>
      <c r="Z11" s="50">
        <f t="shared" si="3"/>
        <v>0.14324443336215906</v>
      </c>
      <c r="AA11" s="51">
        <f t="shared" si="4"/>
        <v>0.13907428413314699</v>
      </c>
      <c r="AB11" s="51">
        <f t="shared" si="5"/>
        <v>3.4780289184459943E-5</v>
      </c>
      <c r="AC11" s="51">
        <f t="shared" si="15"/>
        <v>5.8974815967885773E-3</v>
      </c>
      <c r="AD11" s="51">
        <f t="shared" si="6"/>
        <v>63.5</v>
      </c>
      <c r="AE11" s="51">
        <f t="shared" si="7"/>
        <v>180.5</v>
      </c>
      <c r="AF11" s="51">
        <f t="shared" si="16"/>
        <v>13.435028842544403</v>
      </c>
      <c r="AG11" s="51">
        <f t="shared" si="8"/>
        <v>69.898439999999994</v>
      </c>
      <c r="AH11" s="51">
        <f t="shared" si="9"/>
        <v>2.0628867199999679E-2</v>
      </c>
      <c r="AI11" s="51">
        <f t="shared" si="17"/>
        <v>0.1436275293946104</v>
      </c>
      <c r="AJ11" s="51">
        <f t="shared" si="10"/>
        <v>0.28000000000000003</v>
      </c>
      <c r="AK11" s="51">
        <f t="shared" si="11"/>
        <v>0</v>
      </c>
      <c r="AL11" s="51">
        <f t="shared" si="18"/>
        <v>0</v>
      </c>
      <c r="AN11" s="37" t="s">
        <v>57</v>
      </c>
      <c r="AO11" s="34">
        <f>AVERAGE(O9:O16,X9:X16)</f>
        <v>66.504642499999989</v>
      </c>
      <c r="AP11" s="34" t="s">
        <v>62</v>
      </c>
      <c r="AQ11" s="34">
        <f>AVERAGE(O9:O16,X9:X16)</f>
        <v>66.504642499999989</v>
      </c>
      <c r="AR11" s="34" t="s">
        <v>64</v>
      </c>
      <c r="AS11" s="38">
        <f>AVERAGE(O9:O16,X9:X16)</f>
        <v>66.504642499999989</v>
      </c>
      <c r="AU11" s="37" t="s">
        <v>73</v>
      </c>
      <c r="AV11" s="34">
        <f>AO11</f>
        <v>66.504642499999989</v>
      </c>
      <c r="AW11" s="34" t="s">
        <v>76</v>
      </c>
      <c r="AX11" s="34">
        <f>AO12</f>
        <v>-2.6075599999999923</v>
      </c>
      <c r="AY11" s="34" t="s">
        <v>70</v>
      </c>
      <c r="AZ11" s="34" t="s">
        <v>76</v>
      </c>
      <c r="BA11" s="34">
        <f>AO13</f>
        <v>1.7797824999999818</v>
      </c>
      <c r="BB11" s="34" t="s">
        <v>71</v>
      </c>
      <c r="BC11" s="34" t="s">
        <v>76</v>
      </c>
      <c r="BD11" s="39">
        <f>AO14</f>
        <v>-0.81431249999999977</v>
      </c>
      <c r="BE11" s="38" t="s">
        <v>72</v>
      </c>
    </row>
    <row r="12" spans="1:57" x14ac:dyDescent="0.5">
      <c r="A12" s="52">
        <v>43211.058333333334</v>
      </c>
      <c r="B12" s="48">
        <v>4</v>
      </c>
      <c r="C12" s="48">
        <v>1</v>
      </c>
      <c r="D12" s="48">
        <v>1</v>
      </c>
      <c r="E12" s="48">
        <v>-1</v>
      </c>
      <c r="F12" s="48">
        <f t="shared" si="12"/>
        <v>1</v>
      </c>
      <c r="G12" s="48">
        <f t="shared" si="13"/>
        <v>-1</v>
      </c>
      <c r="H12" s="48">
        <f t="shared" si="14"/>
        <v>-1</v>
      </c>
      <c r="I12" s="48">
        <v>510</v>
      </c>
      <c r="J12" s="48">
        <v>250</v>
      </c>
      <c r="K12" s="48">
        <v>26</v>
      </c>
      <c r="L12" s="48">
        <v>215</v>
      </c>
      <c r="M12" s="48">
        <f t="shared" si="0"/>
        <v>71</v>
      </c>
      <c r="N12" s="48">
        <v>0.27</v>
      </c>
      <c r="O12" s="50">
        <v>68.453130000000002</v>
      </c>
      <c r="P12" s="50">
        <v>409.791</v>
      </c>
      <c r="Q12" s="50">
        <f t="shared" si="1"/>
        <v>0.17325905156531013</v>
      </c>
      <c r="R12" s="48">
        <v>506</v>
      </c>
      <c r="S12" s="48">
        <v>252</v>
      </c>
      <c r="T12" s="48">
        <v>26</v>
      </c>
      <c r="U12" s="48">
        <v>214</v>
      </c>
      <c r="V12" s="48">
        <f t="shared" si="2"/>
        <v>66</v>
      </c>
      <c r="W12" s="48">
        <v>0.27</v>
      </c>
      <c r="X12" s="50">
        <v>61.953130000000002</v>
      </c>
      <c r="Y12" s="50">
        <v>537.67200000000003</v>
      </c>
      <c r="Z12" s="50">
        <f t="shared" si="3"/>
        <v>0.1227514172209079</v>
      </c>
      <c r="AA12" s="51">
        <f t="shared" si="4"/>
        <v>0.14800523439310903</v>
      </c>
      <c r="AB12" s="51">
        <f t="shared" si="5"/>
        <v>1.2755105635339197E-3</v>
      </c>
      <c r="AC12" s="51">
        <f t="shared" si="15"/>
        <v>3.5714290746617382E-2</v>
      </c>
      <c r="AD12" s="51">
        <f t="shared" si="6"/>
        <v>68.5</v>
      </c>
      <c r="AE12" s="51">
        <f t="shared" si="7"/>
        <v>12.5</v>
      </c>
      <c r="AF12" s="51">
        <f t="shared" si="16"/>
        <v>3.5355339059327378</v>
      </c>
      <c r="AG12" s="51">
        <f t="shared" si="8"/>
        <v>65.203130000000002</v>
      </c>
      <c r="AH12" s="51">
        <f t="shared" si="9"/>
        <v>21.125</v>
      </c>
      <c r="AI12" s="51">
        <f t="shared" si="17"/>
        <v>4.5961940777125587</v>
      </c>
      <c r="AJ12" s="51">
        <f t="shared" si="10"/>
        <v>0.27</v>
      </c>
      <c r="AK12" s="51">
        <f t="shared" si="11"/>
        <v>0</v>
      </c>
      <c r="AL12" s="51">
        <f t="shared" si="18"/>
        <v>0</v>
      </c>
      <c r="AN12" s="37" t="s">
        <v>66</v>
      </c>
      <c r="AO12" s="34">
        <f>AVERAGE(O10,O12,O15:O16,X10,X12,X15:X16)-AVERAGE(O9,O11,O13:O14,X9,X11,X13:X14)</f>
        <v>-2.6075599999999923</v>
      </c>
      <c r="AP12" s="34" t="s">
        <v>66</v>
      </c>
      <c r="AQ12" s="34">
        <f>AVERAGE(O10,O12,O15:O16,X10,X12,X15:X16)-AVERAGE(O9,O11,O13:O14,X9,X11,X13:X14)</f>
        <v>-2.6075599999999923</v>
      </c>
      <c r="AR12" s="34" t="s">
        <v>69</v>
      </c>
      <c r="AS12" s="38">
        <f>AVERAGE(O11:O12,O14,O16,X11:X12,X14,X16)-AVERAGE(O9:O10,O13,O15,X9:X10,X13,X15)</f>
        <v>1.7797824999999818</v>
      </c>
      <c r="AU12" s="37" t="s">
        <v>74</v>
      </c>
      <c r="AV12" s="34">
        <f>AQ11</f>
        <v>66.504642499999989</v>
      </c>
      <c r="AW12" s="34" t="s">
        <v>76</v>
      </c>
      <c r="AX12" s="34">
        <f>AQ12</f>
        <v>-2.6075599999999923</v>
      </c>
      <c r="AY12" s="34" t="s">
        <v>70</v>
      </c>
      <c r="AZ12" s="34" t="s">
        <v>76</v>
      </c>
      <c r="BA12" s="34">
        <f>AQ13</f>
        <v>-3.688999999999993</v>
      </c>
      <c r="BB12" s="34" t="s">
        <v>77</v>
      </c>
      <c r="BC12" s="34" t="s">
        <v>76</v>
      </c>
      <c r="BD12" s="39">
        <f>AQ14</f>
        <v>-0.15802999999999656</v>
      </c>
      <c r="BE12" s="38" t="s">
        <v>78</v>
      </c>
    </row>
    <row r="13" spans="1:57" x14ac:dyDescent="0.5">
      <c r="A13" s="52">
        <v>43210.169444444444</v>
      </c>
      <c r="B13" s="48">
        <v>5</v>
      </c>
      <c r="C13" s="48">
        <v>-1</v>
      </c>
      <c r="D13" s="48">
        <v>-1</v>
      </c>
      <c r="E13" s="48">
        <v>1</v>
      </c>
      <c r="F13" s="48">
        <f t="shared" si="12"/>
        <v>1</v>
      </c>
      <c r="G13" s="48">
        <f t="shared" si="13"/>
        <v>-1</v>
      </c>
      <c r="H13" s="48">
        <f t="shared" si="14"/>
        <v>-1</v>
      </c>
      <c r="I13" s="48">
        <v>521</v>
      </c>
      <c r="J13" s="48">
        <v>260</v>
      </c>
      <c r="K13" s="48">
        <v>25</v>
      </c>
      <c r="L13" s="48">
        <v>210</v>
      </c>
      <c r="M13" s="48">
        <f t="shared" si="0"/>
        <v>76</v>
      </c>
      <c r="N13" s="48">
        <v>0.27</v>
      </c>
      <c r="O13" s="50">
        <v>64.078000000000003</v>
      </c>
      <c r="P13" s="50">
        <v>400.90100000000001</v>
      </c>
      <c r="Q13" s="50">
        <f t="shared" si="1"/>
        <v>0.18957298684712684</v>
      </c>
      <c r="R13" s="48">
        <v>498</v>
      </c>
      <c r="S13" s="48">
        <v>273</v>
      </c>
      <c r="T13" s="48">
        <v>26</v>
      </c>
      <c r="U13" s="48">
        <v>182</v>
      </c>
      <c r="V13" s="48">
        <f t="shared" si="2"/>
        <v>69</v>
      </c>
      <c r="W13" s="48">
        <v>0.27</v>
      </c>
      <c r="X13" s="50">
        <v>63.46875</v>
      </c>
      <c r="Y13" s="50">
        <v>342.47899999999998</v>
      </c>
      <c r="Z13" s="50">
        <f t="shared" si="3"/>
        <v>0.20147220705503113</v>
      </c>
      <c r="AA13" s="51">
        <f t="shared" si="4"/>
        <v>0.19552259695107899</v>
      </c>
      <c r="AB13" s="51">
        <f t="shared" si="5"/>
        <v>7.0795720778098938E-5</v>
      </c>
      <c r="AC13" s="51">
        <f t="shared" si="15"/>
        <v>8.4140192998411259E-3</v>
      </c>
      <c r="AD13" s="51">
        <f t="shared" si="6"/>
        <v>72.5</v>
      </c>
      <c r="AE13" s="51">
        <f t="shared" si="7"/>
        <v>24.5</v>
      </c>
      <c r="AF13" s="51">
        <f t="shared" si="16"/>
        <v>4.9497474683058327</v>
      </c>
      <c r="AG13" s="51">
        <f t="shared" si="8"/>
        <v>63.773375000000001</v>
      </c>
      <c r="AH13" s="51">
        <f t="shared" si="9"/>
        <v>0.18559278125000181</v>
      </c>
      <c r="AI13" s="51">
        <f t="shared" si="17"/>
        <v>0.4308048064379062</v>
      </c>
      <c r="AJ13" s="51">
        <f t="shared" si="10"/>
        <v>0.27</v>
      </c>
      <c r="AK13" s="51">
        <f t="shared" si="11"/>
        <v>0</v>
      </c>
      <c r="AL13" s="51">
        <f t="shared" si="18"/>
        <v>0</v>
      </c>
      <c r="AN13" s="37" t="s">
        <v>67</v>
      </c>
      <c r="AO13" s="34">
        <f>AVERAGE(O11:O12,O14,O16,X11:X12,X14,X16)-AVERAGE(O9:O10,O13,O15,X9:X10,X13,X15)</f>
        <v>1.7797824999999818</v>
      </c>
      <c r="AP13" s="34" t="s">
        <v>68</v>
      </c>
      <c r="AQ13" s="34">
        <f>AVERAGE(O13:O16,X13:X16)-AVERAGE(O9:O12,X9:X12)</f>
        <v>-3.688999999999993</v>
      </c>
      <c r="AR13" s="34" t="s">
        <v>68</v>
      </c>
      <c r="AS13" s="38">
        <f>AVERAGE(O13:O16,X13:X16)-AVERAGE(O9:O12,X9:X12)</f>
        <v>-3.688999999999993</v>
      </c>
      <c r="AU13" s="37" t="s">
        <v>75</v>
      </c>
      <c r="AV13" s="34">
        <f>AS11</f>
        <v>66.504642499999989</v>
      </c>
      <c r="AW13" s="34" t="s">
        <v>76</v>
      </c>
      <c r="AX13" s="34">
        <f>AS12</f>
        <v>1.7797824999999818</v>
      </c>
      <c r="AY13" s="34" t="s">
        <v>71</v>
      </c>
      <c r="AZ13" s="34" t="s">
        <v>76</v>
      </c>
      <c r="BA13" s="34">
        <f>AS13</f>
        <v>-3.688999999999993</v>
      </c>
      <c r="BB13" s="34" t="s">
        <v>77</v>
      </c>
      <c r="BC13" s="34" t="s">
        <v>76</v>
      </c>
      <c r="BD13" s="34">
        <f>AS14</f>
        <v>3.3764974999999993</v>
      </c>
      <c r="BE13" s="38" t="s">
        <v>79</v>
      </c>
    </row>
    <row r="14" spans="1:57" x14ac:dyDescent="0.5">
      <c r="A14" s="52">
        <v>43210.15347222222</v>
      </c>
      <c r="B14" s="48">
        <v>6</v>
      </c>
      <c r="C14" s="48">
        <v>-1</v>
      </c>
      <c r="D14" s="48">
        <v>1</v>
      </c>
      <c r="E14" s="48">
        <v>1</v>
      </c>
      <c r="F14" s="48">
        <f t="shared" si="12"/>
        <v>-1</v>
      </c>
      <c r="G14" s="48">
        <f t="shared" si="13"/>
        <v>-1</v>
      </c>
      <c r="H14" s="48">
        <f t="shared" si="14"/>
        <v>1</v>
      </c>
      <c r="I14" s="48">
        <v>514</v>
      </c>
      <c r="J14" s="48">
        <v>243</v>
      </c>
      <c r="K14" s="48">
        <v>26</v>
      </c>
      <c r="L14" s="48">
        <v>223</v>
      </c>
      <c r="M14" s="48">
        <f t="shared" si="0"/>
        <v>74</v>
      </c>
      <c r="N14" s="48">
        <v>0.27</v>
      </c>
      <c r="O14" s="50">
        <v>65.4375</v>
      </c>
      <c r="P14" s="50">
        <v>424.09500000000003</v>
      </c>
      <c r="Q14" s="50">
        <f t="shared" si="1"/>
        <v>0.17448920642780508</v>
      </c>
      <c r="R14" s="48">
        <v>502</v>
      </c>
      <c r="S14" s="48">
        <v>251</v>
      </c>
      <c r="T14" s="48">
        <v>26</v>
      </c>
      <c r="U14" s="48">
        <v>214</v>
      </c>
      <c r="V14" s="48">
        <f t="shared" si="2"/>
        <v>63</v>
      </c>
      <c r="W14" s="48">
        <v>0.27</v>
      </c>
      <c r="X14" s="50">
        <v>71.1875</v>
      </c>
      <c r="Y14" s="50">
        <v>369.22699999999998</v>
      </c>
      <c r="Z14" s="50">
        <f t="shared" si="3"/>
        <v>0.17062674181465604</v>
      </c>
      <c r="AA14" s="51">
        <f t="shared" si="4"/>
        <v>0.17255797412123056</v>
      </c>
      <c r="AB14" s="51">
        <f t="shared" si="5"/>
        <v>7.4593164439142869E-6</v>
      </c>
      <c r="AC14" s="51">
        <f t="shared" si="15"/>
        <v>2.731174920050762E-3</v>
      </c>
      <c r="AD14" s="51">
        <f t="shared" si="6"/>
        <v>68.5</v>
      </c>
      <c r="AE14" s="51">
        <f t="shared" si="7"/>
        <v>60.5</v>
      </c>
      <c r="AF14" s="51">
        <f t="shared" si="16"/>
        <v>7.7781745930520225</v>
      </c>
      <c r="AG14" s="51">
        <f t="shared" si="8"/>
        <v>68.3125</v>
      </c>
      <c r="AH14" s="51">
        <f t="shared" si="9"/>
        <v>16.53125</v>
      </c>
      <c r="AI14" s="51">
        <f t="shared" si="17"/>
        <v>4.0658639918226482</v>
      </c>
      <c r="AJ14" s="51">
        <f t="shared" si="10"/>
        <v>0.27</v>
      </c>
      <c r="AK14" s="51">
        <f t="shared" si="11"/>
        <v>0</v>
      </c>
      <c r="AL14" s="51">
        <f t="shared" si="18"/>
        <v>0</v>
      </c>
      <c r="AN14" s="37" t="s">
        <v>58</v>
      </c>
      <c r="AO14" s="34">
        <f>AVERAGE(O9,O12:O13,O16,X9,X12:X13,X16)-AVERAGE(O10:O11,O14:O15,X10:X11,X14:X15)</f>
        <v>-0.81431249999999977</v>
      </c>
      <c r="AP14" s="34" t="s">
        <v>63</v>
      </c>
      <c r="AQ14" s="34">
        <f>AVERAGE(O9,O11,O15:O16,X9,X11,X15:X16)-AVERAGE(O10,O12:O14,X10,X12:X14)</f>
        <v>-0.15802999999999656</v>
      </c>
      <c r="AR14" s="34" t="s">
        <v>63</v>
      </c>
      <c r="AS14" s="38">
        <f>AVERAGE(O9:O10,O14,O16,X9:X10,X14,X16)-AVERAGE(O11:O13,O15,X11:X13,X15)</f>
        <v>3.3764974999999993</v>
      </c>
      <c r="AU14" s="37"/>
      <c r="AV14" s="34"/>
      <c r="AW14" s="34"/>
      <c r="AX14" s="34"/>
      <c r="AY14" s="34"/>
      <c r="AZ14" s="34"/>
      <c r="BA14" s="34"/>
      <c r="BB14" s="34"/>
      <c r="BC14" s="34"/>
      <c r="BD14" s="34"/>
      <c r="BE14" s="38"/>
    </row>
    <row r="15" spans="1:57" x14ac:dyDescent="0.5">
      <c r="A15" s="52">
        <v>43210.085416666669</v>
      </c>
      <c r="B15" s="48">
        <v>7</v>
      </c>
      <c r="C15" s="48">
        <v>1</v>
      </c>
      <c r="D15" s="48">
        <v>-1</v>
      </c>
      <c r="E15" s="48">
        <v>1</v>
      </c>
      <c r="F15" s="48">
        <f t="shared" si="12"/>
        <v>-1</v>
      </c>
      <c r="G15" s="48">
        <f t="shared" si="13"/>
        <v>1</v>
      </c>
      <c r="H15" s="48">
        <f t="shared" si="14"/>
        <v>-1</v>
      </c>
      <c r="I15" s="48">
        <v>520</v>
      </c>
      <c r="J15" s="48">
        <v>285</v>
      </c>
      <c r="K15" s="48">
        <v>25</v>
      </c>
      <c r="L15" s="48">
        <v>168</v>
      </c>
      <c r="M15" s="48">
        <f t="shared" si="0"/>
        <v>92</v>
      </c>
      <c r="N15" s="48">
        <v>0.26</v>
      </c>
      <c r="O15" s="50">
        <v>62.015630000000002</v>
      </c>
      <c r="P15" s="50">
        <v>523.80499999999995</v>
      </c>
      <c r="Q15" s="50">
        <f t="shared" si="1"/>
        <v>0.17563788050896806</v>
      </c>
      <c r="R15" s="48">
        <v>510</v>
      </c>
      <c r="S15" s="48">
        <v>269</v>
      </c>
      <c r="T15" s="48">
        <v>25</v>
      </c>
      <c r="U15" s="48">
        <v>200</v>
      </c>
      <c r="V15" s="48">
        <f t="shared" si="2"/>
        <v>66</v>
      </c>
      <c r="W15" s="48">
        <v>0.27</v>
      </c>
      <c r="X15" s="50">
        <v>58.765630000000002</v>
      </c>
      <c r="Y15" s="50">
        <v>409.827</v>
      </c>
      <c r="Z15" s="50">
        <f t="shared" si="3"/>
        <v>0.1610435622835977</v>
      </c>
      <c r="AA15" s="51">
        <f t="shared" si="4"/>
        <v>0.16834072139628287</v>
      </c>
      <c r="AB15" s="51">
        <f t="shared" si="5"/>
        <v>1.0649706223168867E-4</v>
      </c>
      <c r="AC15" s="51">
        <f t="shared" si="15"/>
        <v>1.03197413839538E-2</v>
      </c>
      <c r="AD15" s="51">
        <f t="shared" si="6"/>
        <v>79</v>
      </c>
      <c r="AE15" s="51">
        <f t="shared" si="7"/>
        <v>338</v>
      </c>
      <c r="AF15" s="51">
        <f t="shared" si="16"/>
        <v>18.384776310850235</v>
      </c>
      <c r="AG15" s="51">
        <f t="shared" si="8"/>
        <v>60.390630000000002</v>
      </c>
      <c r="AH15" s="51">
        <f t="shared" si="9"/>
        <v>5.28125</v>
      </c>
      <c r="AI15" s="51">
        <f t="shared" si="17"/>
        <v>2.2980970388562794</v>
      </c>
      <c r="AJ15" s="51">
        <f t="shared" si="10"/>
        <v>0.26500000000000001</v>
      </c>
      <c r="AK15" s="51">
        <f t="shared" si="11"/>
        <v>5.000000000000009E-5</v>
      </c>
      <c r="AL15" s="51">
        <f t="shared" si="18"/>
        <v>7.0710678118654814E-3</v>
      </c>
      <c r="AN15" s="37"/>
      <c r="AO15" s="34"/>
      <c r="AP15" s="34"/>
      <c r="AQ15" s="34"/>
      <c r="AR15" s="34"/>
      <c r="AS15" s="38"/>
      <c r="AU15" s="37"/>
      <c r="AV15" s="34"/>
      <c r="AW15" s="34"/>
      <c r="AX15" s="34"/>
      <c r="AY15" s="34"/>
      <c r="AZ15" s="34"/>
      <c r="BA15" s="34"/>
      <c r="BB15" s="34"/>
      <c r="BC15" s="34"/>
      <c r="BD15" s="34"/>
      <c r="BE15" s="38"/>
    </row>
    <row r="16" spans="1:57" x14ac:dyDescent="0.5">
      <c r="A16" s="53">
        <v>43210.151388888888</v>
      </c>
      <c r="B16" s="48">
        <v>8</v>
      </c>
      <c r="C16" s="48">
        <v>1</v>
      </c>
      <c r="D16" s="48">
        <v>1</v>
      </c>
      <c r="E16" s="48">
        <v>1</v>
      </c>
      <c r="F16" s="48">
        <f t="shared" si="12"/>
        <v>1</v>
      </c>
      <c r="G16" s="48">
        <f t="shared" si="13"/>
        <v>1</v>
      </c>
      <c r="H16" s="48">
        <f t="shared" si="14"/>
        <v>1</v>
      </c>
      <c r="I16" s="48">
        <v>505</v>
      </c>
      <c r="J16" s="48">
        <v>247</v>
      </c>
      <c r="K16" s="48">
        <v>77</v>
      </c>
      <c r="L16" s="48">
        <v>264</v>
      </c>
      <c r="M16" s="48">
        <f t="shared" si="0"/>
        <v>71</v>
      </c>
      <c r="N16" s="48">
        <v>0.27</v>
      </c>
      <c r="O16" s="50">
        <v>64.859380000000002</v>
      </c>
      <c r="P16" s="50">
        <v>421.73099999999999</v>
      </c>
      <c r="Q16" s="50">
        <f t="shared" si="1"/>
        <v>0.16835376104673358</v>
      </c>
      <c r="R16" s="48">
        <v>505</v>
      </c>
      <c r="S16" s="48">
        <v>249</v>
      </c>
      <c r="T16" s="48">
        <v>25</v>
      </c>
      <c r="U16" s="48">
        <v>220</v>
      </c>
      <c r="V16" s="48">
        <f t="shared" si="2"/>
        <v>61</v>
      </c>
      <c r="W16" s="48">
        <v>0.27</v>
      </c>
      <c r="X16" s="50">
        <v>67.46875</v>
      </c>
      <c r="Y16" s="50">
        <v>380.10700000000003</v>
      </c>
      <c r="Z16" s="50">
        <f t="shared" si="3"/>
        <v>0.16048112768246833</v>
      </c>
      <c r="AA16" s="51">
        <f t="shared" si="4"/>
        <v>0.16441744436460096</v>
      </c>
      <c r="AB16" s="51">
        <f t="shared" si="5"/>
        <v>3.0989178044071169E-5</v>
      </c>
      <c r="AC16" s="51">
        <f t="shared" si="15"/>
        <v>5.5667924376674198E-3</v>
      </c>
      <c r="AD16" s="51">
        <f t="shared" si="6"/>
        <v>66</v>
      </c>
      <c r="AE16" s="51">
        <f t="shared" si="7"/>
        <v>50</v>
      </c>
      <c r="AF16" s="51">
        <f t="shared" si="16"/>
        <v>7.0710678118654755</v>
      </c>
      <c r="AG16" s="51">
        <f t="shared" si="8"/>
        <v>66.164064999999994</v>
      </c>
      <c r="AH16" s="51">
        <f t="shared" si="9"/>
        <v>3.4044058984499959</v>
      </c>
      <c r="AI16" s="51">
        <f t="shared" si="17"/>
        <v>1.8451032216247405</v>
      </c>
      <c r="AJ16" s="51">
        <f t="shared" si="10"/>
        <v>0.27</v>
      </c>
      <c r="AK16" s="51">
        <f t="shared" si="11"/>
        <v>0</v>
      </c>
      <c r="AL16" s="51">
        <f t="shared" si="18"/>
        <v>0</v>
      </c>
      <c r="AN16" s="72" t="s">
        <v>48</v>
      </c>
      <c r="AO16" s="73"/>
      <c r="AP16" s="73"/>
      <c r="AQ16" s="73"/>
      <c r="AR16" s="73"/>
      <c r="AS16" s="74"/>
      <c r="AU16" s="37"/>
      <c r="AV16" s="34"/>
      <c r="AW16" s="34"/>
      <c r="AX16" s="34"/>
      <c r="AY16" s="34"/>
      <c r="AZ16" s="34"/>
      <c r="BA16" s="34"/>
      <c r="BB16" s="34"/>
      <c r="BC16" s="34"/>
      <c r="BD16" s="34"/>
      <c r="BE16" s="38"/>
    </row>
    <row r="17" spans="1:57" ht="16.5" x14ac:dyDescent="0.5">
      <c r="A17" s="31"/>
      <c r="B17" s="54"/>
      <c r="C17" s="54"/>
      <c r="D17" s="54"/>
      <c r="E17" s="54"/>
      <c r="F17" s="54"/>
      <c r="G17" s="54"/>
      <c r="H17" s="54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48" t="s">
        <v>96</v>
      </c>
      <c r="AB17" s="48">
        <f>SUM(AB9:AB16)/8</f>
        <v>3.2877313991175046E-4</v>
      </c>
      <c r="AC17" s="56"/>
      <c r="AD17" s="21" t="s">
        <v>96</v>
      </c>
      <c r="AE17" s="21">
        <f>SUM(AE9:AE16)/8</f>
        <v>136.25</v>
      </c>
      <c r="AG17" s="48" t="s">
        <v>49</v>
      </c>
      <c r="AH17" s="48">
        <f>SUM(AH9:AH16)/8</f>
        <v>8.5448958261749972</v>
      </c>
      <c r="AI17" s="56"/>
      <c r="AK17" s="21" t="s">
        <v>49</v>
      </c>
      <c r="AL17" s="21">
        <f>SUM(AL9:AL16)/8</f>
        <v>2.6516504294495555E-3</v>
      </c>
      <c r="AN17" s="37" t="s">
        <v>59</v>
      </c>
      <c r="AO17" s="34"/>
      <c r="AP17" s="34" t="s">
        <v>60</v>
      </c>
      <c r="AQ17" s="34"/>
      <c r="AR17" s="34" t="s">
        <v>61</v>
      </c>
      <c r="AS17" s="38"/>
      <c r="AU17" s="37" t="s">
        <v>48</v>
      </c>
      <c r="AV17" s="34"/>
      <c r="AW17" s="34"/>
      <c r="AX17" s="34"/>
      <c r="AY17" s="34"/>
      <c r="AZ17" s="34"/>
      <c r="BA17" s="34"/>
      <c r="BB17" s="34"/>
      <c r="BC17" s="34"/>
      <c r="BD17" s="34"/>
      <c r="BE17" s="38"/>
    </row>
    <row r="18" spans="1:57" s="34" customFormat="1" x14ac:dyDescent="0.5">
      <c r="A18" s="33"/>
      <c r="B18" s="57"/>
      <c r="C18" s="57"/>
      <c r="D18" s="57"/>
      <c r="E18" s="57"/>
      <c r="F18" s="57"/>
      <c r="G18" s="57"/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48" t="s">
        <v>50</v>
      </c>
      <c r="AB18" s="48">
        <f>SQRT(AB17)</f>
        <v>1.8132102468046845E-2</v>
      </c>
      <c r="AC18" s="58"/>
      <c r="AD18" s="34" t="s">
        <v>50</v>
      </c>
      <c r="AE18" s="34">
        <f>SQRT(AE17)</f>
        <v>11.672617529928752</v>
      </c>
      <c r="AG18" s="48" t="s">
        <v>50</v>
      </c>
      <c r="AH18" s="48">
        <f>SQRT(AH17)</f>
        <v>2.9231653778353008</v>
      </c>
      <c r="AI18" s="58"/>
      <c r="AK18" s="34" t="s">
        <v>50</v>
      </c>
      <c r="AL18" s="34">
        <f>SQRT(AL17)</f>
        <v>5.1494178597677964E-2</v>
      </c>
      <c r="AN18" s="37" t="s">
        <v>57</v>
      </c>
      <c r="AO18" s="34">
        <f>AVERAGE(M9:M16,V9:V16)</f>
        <v>69</v>
      </c>
      <c r="AP18" s="34" t="s">
        <v>62</v>
      </c>
      <c r="AQ18" s="34">
        <f>AVERAGE(M9:M16,V9:V16)</f>
        <v>69</v>
      </c>
      <c r="AR18" s="34" t="s">
        <v>64</v>
      </c>
      <c r="AS18" s="38">
        <f>AVERAGE(M9:M16,V9:V16)</f>
        <v>69</v>
      </c>
      <c r="AT18" s="21"/>
      <c r="AU18" s="37" t="s">
        <v>73</v>
      </c>
      <c r="AV18" s="34">
        <f>AO18</f>
        <v>69</v>
      </c>
      <c r="AW18" s="34" t="s">
        <v>76</v>
      </c>
      <c r="AX18" s="34">
        <f>AO19</f>
        <v>-0.75</v>
      </c>
      <c r="AY18" s="34" t="s">
        <v>70</v>
      </c>
      <c r="AZ18" s="34" t="s">
        <v>76</v>
      </c>
      <c r="BA18" s="34">
        <f>AO20</f>
        <v>-4.75</v>
      </c>
      <c r="BB18" s="34" t="s">
        <v>71</v>
      </c>
      <c r="BC18" s="34" t="s">
        <v>76</v>
      </c>
      <c r="BD18" s="34">
        <f>AO21</f>
        <v>2</v>
      </c>
      <c r="BE18" s="38" t="s">
        <v>72</v>
      </c>
    </row>
    <row r="19" spans="1:57" s="34" customFormat="1" x14ac:dyDescent="0.5">
      <c r="B19" s="58"/>
      <c r="C19" s="59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48" t="s">
        <v>51</v>
      </c>
      <c r="AB19" s="48">
        <f>AB18/SQRT(16)</f>
        <v>4.5330256170117112E-3</v>
      </c>
      <c r="AC19" s="58"/>
      <c r="AD19" s="34" t="s">
        <v>51</v>
      </c>
      <c r="AE19" s="34">
        <f>AE18/SQRT(16)</f>
        <v>2.9181543824821881</v>
      </c>
      <c r="AG19" s="48" t="s">
        <v>51</v>
      </c>
      <c r="AH19" s="48">
        <f>AH18/SQRT(16)</f>
        <v>0.73079134445882521</v>
      </c>
      <c r="AI19" s="58"/>
      <c r="AK19" s="34" t="s">
        <v>51</v>
      </c>
      <c r="AL19" s="34">
        <f>AL18/SQRT(16)</f>
        <v>1.2873544649419491E-2</v>
      </c>
      <c r="AN19" s="37" t="s">
        <v>66</v>
      </c>
      <c r="AO19" s="34">
        <f>AVERAGE(M10,M12,M15:M16,V10,V12,V15:V16)-AVERAGE(M9,M11,M13:M14,V9,V11,V13:V14)</f>
        <v>-0.75</v>
      </c>
      <c r="AP19" s="34" t="s">
        <v>66</v>
      </c>
      <c r="AQ19" s="34">
        <f>AVERAGE(M10,M12,M15:M16,V10,V12,V15:V16)-AVERAGE(M9,M11,M13:M14,V9,V11,V13:V14)</f>
        <v>-0.75</v>
      </c>
      <c r="AR19" s="34" t="s">
        <v>69</v>
      </c>
      <c r="AS19" s="38">
        <f>AVERAGE(M11:M12,M14,M16,V11:V12,V14,V16)-AVERAGE(M9:M10,M13,M15,V9:V10,V13,V15)</f>
        <v>-4.75</v>
      </c>
      <c r="AT19" s="21"/>
      <c r="AU19" s="37" t="s">
        <v>74</v>
      </c>
      <c r="AV19" s="34">
        <f>AQ18</f>
        <v>69</v>
      </c>
      <c r="AW19" s="34" t="s">
        <v>76</v>
      </c>
      <c r="AX19" s="34">
        <f>AQ19</f>
        <v>-0.75</v>
      </c>
      <c r="AY19" s="34" t="s">
        <v>70</v>
      </c>
      <c r="AZ19" s="34" t="s">
        <v>76</v>
      </c>
      <c r="BA19" s="34">
        <f>AQ20</f>
        <v>5</v>
      </c>
      <c r="BB19" s="34" t="s">
        <v>77</v>
      </c>
      <c r="BC19" s="34" t="s">
        <v>76</v>
      </c>
      <c r="BD19" s="34">
        <f>AQ21</f>
        <v>2.75</v>
      </c>
      <c r="BE19" s="38" t="s">
        <v>78</v>
      </c>
    </row>
    <row r="20" spans="1:57" s="34" customFormat="1" x14ac:dyDescent="0.5">
      <c r="C20" s="35"/>
      <c r="E20" s="36"/>
      <c r="H20" s="36"/>
      <c r="AA20" s="36" t="s">
        <v>52</v>
      </c>
      <c r="AB20" s="34">
        <f>2*AB19</f>
        <v>9.0660512340234225E-3</v>
      </c>
      <c r="AD20" s="36" t="s">
        <v>52</v>
      </c>
      <c r="AE20" s="34">
        <f>2*AE19</f>
        <v>5.8363087649643761</v>
      </c>
      <c r="AG20" s="36" t="s">
        <v>52</v>
      </c>
      <c r="AH20" s="34">
        <f>2*AH19</f>
        <v>1.4615826889176504</v>
      </c>
      <c r="AK20" s="36" t="s">
        <v>52</v>
      </c>
      <c r="AL20" s="34">
        <f>2*AL19</f>
        <v>2.5747089298838982E-2</v>
      </c>
      <c r="AN20" s="37" t="s">
        <v>67</v>
      </c>
      <c r="AO20" s="34">
        <f>AVERAGE(M11:M12,M14,M16,V11:V12,V14,V16)-AVERAGE(M9:M10,M13,M15,V9:V10,V13,V15)</f>
        <v>-4.75</v>
      </c>
      <c r="AP20" s="34" t="s">
        <v>68</v>
      </c>
      <c r="AQ20" s="34">
        <f>AVERAGE(M13:M16,V13:V16)-AVERAGE(M9:M12,V9:V12)</f>
        <v>5</v>
      </c>
      <c r="AR20" s="34" t="s">
        <v>68</v>
      </c>
      <c r="AS20" s="38">
        <f>AVERAGE(M13:M16,V13:V16)-AVERAGE(M9:M12,V9:V12)</f>
        <v>5</v>
      </c>
      <c r="AT20" s="21"/>
      <c r="AU20" s="40" t="s">
        <v>75</v>
      </c>
      <c r="AV20" s="41">
        <f>AS18</f>
        <v>69</v>
      </c>
      <c r="AW20" s="41" t="s">
        <v>76</v>
      </c>
      <c r="AX20" s="41">
        <f>AS19</f>
        <v>-4.75</v>
      </c>
      <c r="AY20" s="41" t="s">
        <v>71</v>
      </c>
      <c r="AZ20" s="41" t="s">
        <v>76</v>
      </c>
      <c r="BA20" s="41">
        <f>AS20</f>
        <v>5</v>
      </c>
      <c r="BB20" s="41" t="s">
        <v>77</v>
      </c>
      <c r="BC20" s="41" t="s">
        <v>76</v>
      </c>
      <c r="BD20" s="41">
        <f>AS21</f>
        <v>-3.75</v>
      </c>
      <c r="BE20" s="42" t="s">
        <v>79</v>
      </c>
    </row>
    <row r="21" spans="1:57" x14ac:dyDescent="0.5">
      <c r="A21" s="34"/>
      <c r="B21" s="34"/>
      <c r="C21" s="35"/>
      <c r="D21" s="34"/>
      <c r="E21" s="34"/>
      <c r="F21" s="34"/>
      <c r="G21" s="34"/>
      <c r="H21" s="34"/>
      <c r="AN21" s="40" t="s">
        <v>58</v>
      </c>
      <c r="AO21" s="41">
        <f>AVERAGE(M9,M12:M13,M16,V9,V12:V13,V16)-AVERAGE(M10:M11,M14:M15,V10:V11,V14:V15)</f>
        <v>2</v>
      </c>
      <c r="AP21" s="41" t="s">
        <v>63</v>
      </c>
      <c r="AQ21" s="41">
        <f>AVERAGE(M9,M11,M15:M16,V9,V11,V15:V16)-AVERAGE(M10,M12:M14,V10,V12:V14)</f>
        <v>2.75</v>
      </c>
      <c r="AR21" s="41" t="s">
        <v>63</v>
      </c>
      <c r="AS21" s="42">
        <f>AVERAGE(M9:M10,M14,M16,V9:V10,V14,V16)-AVERAGE(M11:M13,M15,V11:V13,V15)</f>
        <v>-3.75</v>
      </c>
    </row>
    <row r="22" spans="1:57" x14ac:dyDescent="0.5">
      <c r="A22" s="34"/>
      <c r="B22" s="34"/>
      <c r="C22" s="35"/>
      <c r="D22" s="34"/>
      <c r="E22" s="34"/>
      <c r="F22" s="34"/>
      <c r="G22" s="34"/>
      <c r="H22" s="34"/>
    </row>
    <row r="23" spans="1:57" x14ac:dyDescent="0.5">
      <c r="A23" s="34"/>
      <c r="B23" s="34"/>
      <c r="C23" s="35"/>
      <c r="D23" s="34"/>
      <c r="E23" s="34"/>
      <c r="F23" s="34"/>
      <c r="G23" s="34"/>
      <c r="H23" s="34"/>
    </row>
    <row r="24" spans="1:57" x14ac:dyDescent="0.5">
      <c r="A24" s="31"/>
      <c r="B24" s="31"/>
      <c r="C24" s="31"/>
      <c r="D24" s="31"/>
      <c r="E24" s="31"/>
      <c r="F24" s="31"/>
      <c r="G24" s="31"/>
      <c r="H24" s="31"/>
      <c r="I24" s="32"/>
      <c r="J24" s="32"/>
    </row>
    <row r="25" spans="1:57" x14ac:dyDescent="0.5">
      <c r="A25" s="33"/>
      <c r="B25" s="33"/>
      <c r="C25" s="33"/>
      <c r="D25" s="33"/>
      <c r="E25" s="33"/>
      <c r="F25" s="33"/>
      <c r="G25" s="33"/>
      <c r="H25" s="33"/>
    </row>
    <row r="26" spans="1:57" x14ac:dyDescent="0.5">
      <c r="A26" s="34"/>
      <c r="B26" s="34"/>
      <c r="C26" s="35"/>
      <c r="D26" s="34"/>
      <c r="E26" s="36"/>
      <c r="F26" s="35"/>
      <c r="G26" s="34"/>
      <c r="H26" s="36"/>
    </row>
    <row r="27" spans="1:57" x14ac:dyDescent="0.5">
      <c r="A27" s="34"/>
      <c r="B27" s="34"/>
      <c r="C27" s="35"/>
      <c r="D27" s="34"/>
      <c r="E27" s="36"/>
      <c r="F27" s="35"/>
      <c r="G27" s="34"/>
      <c r="H27" s="36"/>
      <c r="I27" s="35"/>
    </row>
    <row r="28" spans="1:57" x14ac:dyDescent="0.5">
      <c r="A28" s="34"/>
      <c r="B28" s="34"/>
      <c r="C28" s="35"/>
      <c r="D28" s="34"/>
      <c r="E28" s="34"/>
      <c r="F28" s="35"/>
      <c r="G28" s="34"/>
      <c r="H28" s="34"/>
      <c r="I28" s="35"/>
    </row>
    <row r="29" spans="1:57" x14ac:dyDescent="0.5">
      <c r="A29" s="34"/>
      <c r="B29" s="34"/>
      <c r="C29" s="35"/>
      <c r="D29" s="34"/>
      <c r="E29" s="34"/>
      <c r="F29" s="35"/>
      <c r="G29" s="34"/>
      <c r="H29" s="34"/>
      <c r="I29" s="35"/>
    </row>
    <row r="30" spans="1:57" x14ac:dyDescent="0.5">
      <c r="A30" s="34"/>
      <c r="B30" s="34"/>
      <c r="C30" s="35"/>
      <c r="D30" s="34"/>
      <c r="E30" s="34"/>
      <c r="F30" s="35"/>
      <c r="G30" s="34"/>
      <c r="H30" s="34"/>
      <c r="I30" s="35"/>
    </row>
    <row r="31" spans="1:57" x14ac:dyDescent="0.5">
      <c r="A31" s="31"/>
      <c r="B31" s="31"/>
      <c r="C31" s="31"/>
      <c r="D31" s="31"/>
      <c r="E31" s="31"/>
      <c r="F31" s="31"/>
      <c r="G31" s="31"/>
      <c r="H31" s="31"/>
      <c r="I31" s="31"/>
      <c r="J31" s="32"/>
      <c r="K31" s="32"/>
    </row>
    <row r="32" spans="1:57" x14ac:dyDescent="0.5">
      <c r="A32" s="33"/>
      <c r="B32" s="33"/>
      <c r="C32" s="33"/>
      <c r="D32" s="33"/>
      <c r="E32" s="33"/>
      <c r="F32" s="33"/>
      <c r="G32" s="33"/>
      <c r="H32" s="33"/>
      <c r="I32" s="33"/>
    </row>
    <row r="33" spans="1:9" x14ac:dyDescent="0.5">
      <c r="A33" s="34"/>
      <c r="B33" s="34"/>
      <c r="C33" s="35"/>
      <c r="D33" s="34"/>
      <c r="E33" s="36"/>
      <c r="F33" s="35"/>
      <c r="G33" s="34"/>
      <c r="H33" s="36"/>
      <c r="I33" s="35"/>
    </row>
    <row r="34" spans="1:9" x14ac:dyDescent="0.5">
      <c r="A34" s="34"/>
      <c r="B34" s="34"/>
      <c r="C34" s="35"/>
      <c r="D34" s="34"/>
      <c r="E34" s="36"/>
      <c r="F34" s="35"/>
      <c r="G34" s="34"/>
      <c r="H34" s="36"/>
      <c r="I34" s="35"/>
    </row>
    <row r="35" spans="1:9" x14ac:dyDescent="0.5">
      <c r="A35" s="34"/>
      <c r="B35" s="34"/>
      <c r="C35" s="35"/>
      <c r="D35" s="34"/>
      <c r="E35" s="34"/>
      <c r="F35" s="35"/>
      <c r="G35" s="34"/>
      <c r="H35" s="34"/>
      <c r="I35" s="35"/>
    </row>
    <row r="36" spans="1:9" x14ac:dyDescent="0.5">
      <c r="A36" s="34"/>
      <c r="B36" s="34"/>
      <c r="C36" s="35"/>
      <c r="D36" s="34"/>
      <c r="E36" s="34"/>
      <c r="F36" s="35"/>
      <c r="G36" s="34"/>
      <c r="H36" s="34"/>
      <c r="I36" s="35"/>
    </row>
    <row r="37" spans="1:9" x14ac:dyDescent="0.5">
      <c r="A37" s="34"/>
      <c r="B37" s="34"/>
      <c r="C37" s="35"/>
      <c r="D37" s="34"/>
      <c r="E37" s="34"/>
      <c r="F37" s="35"/>
      <c r="G37" s="34"/>
      <c r="H37" s="34"/>
      <c r="I37" s="35"/>
    </row>
  </sheetData>
  <mergeCells count="11">
    <mergeCell ref="B7:H7"/>
    <mergeCell ref="AN2:AS2"/>
    <mergeCell ref="AU2:BE2"/>
    <mergeCell ref="AN9:AS9"/>
    <mergeCell ref="AN16:AS16"/>
    <mergeCell ref="I7:Q7"/>
    <mergeCell ref="R7:Z7"/>
    <mergeCell ref="AA7:AC7"/>
    <mergeCell ref="AD7:AF7"/>
    <mergeCell ref="AG7:AI7"/>
    <mergeCell ref="AJ7:AL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1"/>
  <sheetViews>
    <sheetView tabSelected="1" topLeftCell="I37" zoomScale="80" zoomScaleNormal="80" workbookViewId="0">
      <selection activeCell="Y17" sqref="Y17"/>
    </sheetView>
  </sheetViews>
  <sheetFormatPr defaultRowHeight="14.1" x14ac:dyDescent="0.5"/>
  <cols>
    <col min="1" max="1" width="13.15625" style="21" bestFit="1" customWidth="1"/>
    <col min="2" max="2" width="4.89453125" style="21" bestFit="1" customWidth="1"/>
    <col min="3" max="3" width="7.15625" style="21" customWidth="1"/>
    <col min="4" max="4" width="9.1015625" style="21" customWidth="1"/>
    <col min="5" max="5" width="10.68359375" style="21" customWidth="1"/>
    <col min="6" max="6" width="5" style="21" customWidth="1"/>
    <col min="7" max="7" width="9.68359375" style="21" customWidth="1"/>
    <col min="8" max="8" width="19.05078125" style="21" bestFit="1" customWidth="1"/>
    <col min="9" max="9" width="8.41796875" style="21" customWidth="1"/>
    <col min="10" max="10" width="5.47265625" style="21" customWidth="1"/>
    <col min="11" max="18" width="8.83984375" style="21" customWidth="1"/>
    <col min="19" max="20" width="13.15625" style="21" customWidth="1"/>
    <col min="21" max="27" width="8.83984375" style="21" customWidth="1"/>
    <col min="28" max="31" width="8.83984375" style="21"/>
    <col min="32" max="32" width="11.578125" style="21" bestFit="1" customWidth="1"/>
    <col min="33" max="40" width="8.83984375" style="21"/>
    <col min="41" max="41" width="10.68359375" style="21" bestFit="1" customWidth="1"/>
    <col min="42" max="16384" width="8.83984375" style="21"/>
  </cols>
  <sheetData>
    <row r="1" spans="1:47" x14ac:dyDescent="0.5">
      <c r="A1" s="21" t="s">
        <v>4</v>
      </c>
    </row>
    <row r="2" spans="1:47" x14ac:dyDescent="0.5">
      <c r="A2" s="21" t="s">
        <v>0</v>
      </c>
      <c r="B2" s="21" t="s">
        <v>5</v>
      </c>
      <c r="C2" s="21">
        <v>25</v>
      </c>
    </row>
    <row r="3" spans="1:47" x14ac:dyDescent="0.5">
      <c r="A3" s="21" t="s">
        <v>1</v>
      </c>
      <c r="B3" s="21" t="s">
        <v>5</v>
      </c>
      <c r="C3" s="21">
        <v>26</v>
      </c>
    </row>
    <row r="4" spans="1:47" x14ac:dyDescent="0.5">
      <c r="A4" s="21" t="s">
        <v>2</v>
      </c>
      <c r="B4" s="21" t="s">
        <v>5</v>
      </c>
      <c r="C4" s="21">
        <v>77</v>
      </c>
    </row>
    <row r="5" spans="1:47" x14ac:dyDescent="0.5">
      <c r="A5" s="21" t="s">
        <v>3</v>
      </c>
      <c r="B5" s="21" t="s">
        <v>5</v>
      </c>
      <c r="C5" s="21">
        <v>237</v>
      </c>
    </row>
    <row r="7" spans="1:47" x14ac:dyDescent="0.5">
      <c r="J7" s="43"/>
      <c r="K7" s="22" t="s">
        <v>17</v>
      </c>
      <c r="L7" s="22"/>
      <c r="M7" s="22"/>
      <c r="N7" s="22"/>
      <c r="O7" s="22"/>
      <c r="P7" s="22"/>
      <c r="Q7" s="22"/>
      <c r="R7" s="22"/>
      <c r="S7" s="22"/>
      <c r="T7" s="23"/>
      <c r="U7" s="23"/>
      <c r="V7" s="23" t="s">
        <v>16</v>
      </c>
      <c r="W7" s="23"/>
      <c r="X7" s="23"/>
      <c r="Y7" s="23"/>
      <c r="Z7" s="23"/>
      <c r="AA7" s="23"/>
      <c r="AB7" s="23"/>
      <c r="AC7" s="23"/>
      <c r="AD7" s="23"/>
      <c r="AE7" s="24" t="s">
        <v>85</v>
      </c>
      <c r="AF7" s="24"/>
      <c r="AG7" s="24"/>
      <c r="AH7" s="25" t="s">
        <v>48</v>
      </c>
      <c r="AI7" s="25"/>
      <c r="AJ7" s="25"/>
      <c r="AK7" s="26" t="s">
        <v>82</v>
      </c>
      <c r="AL7" s="26"/>
      <c r="AM7" s="26"/>
      <c r="AN7" s="27" t="s">
        <v>12</v>
      </c>
      <c r="AO7" s="27"/>
      <c r="AP7" s="27"/>
      <c r="AQ7" s="21" t="s">
        <v>102</v>
      </c>
    </row>
    <row r="8" spans="1:47" ht="16.5" x14ac:dyDescent="0.7">
      <c r="A8" s="21" t="s">
        <v>15</v>
      </c>
      <c r="B8" s="21" t="s">
        <v>6</v>
      </c>
      <c r="C8" s="21" t="s">
        <v>8</v>
      </c>
      <c r="D8" s="21" t="s">
        <v>7</v>
      </c>
      <c r="E8" s="21" t="s">
        <v>9</v>
      </c>
      <c r="F8" s="21" t="s">
        <v>87</v>
      </c>
      <c r="G8" s="21" t="s">
        <v>88</v>
      </c>
      <c r="H8" s="21" t="s">
        <v>89</v>
      </c>
      <c r="I8" s="21" t="s">
        <v>90</v>
      </c>
      <c r="J8" s="21" t="s">
        <v>27</v>
      </c>
      <c r="K8" s="21" t="s">
        <v>28</v>
      </c>
      <c r="L8" s="21" t="s">
        <v>30</v>
      </c>
      <c r="M8" s="21" t="s">
        <v>43</v>
      </c>
      <c r="N8" s="21" t="s">
        <v>29</v>
      </c>
      <c r="O8" s="21" t="s">
        <v>45</v>
      </c>
      <c r="P8" s="21" t="s">
        <v>12</v>
      </c>
      <c r="Q8" s="21" t="s">
        <v>83</v>
      </c>
      <c r="R8" s="21" t="s">
        <v>13</v>
      </c>
      <c r="S8" s="21" t="s">
        <v>85</v>
      </c>
      <c r="T8" s="21" t="s">
        <v>44</v>
      </c>
      <c r="U8" s="21" t="s">
        <v>41</v>
      </c>
      <c r="V8" s="21" t="s">
        <v>14</v>
      </c>
      <c r="W8" s="21" t="s">
        <v>31</v>
      </c>
      <c r="X8" s="21" t="s">
        <v>43</v>
      </c>
      <c r="Y8" s="21" t="s">
        <v>11</v>
      </c>
      <c r="Z8" s="21" t="s">
        <v>48</v>
      </c>
      <c r="AA8" s="21" t="s">
        <v>12</v>
      </c>
      <c r="AB8" s="21" t="s">
        <v>83</v>
      </c>
      <c r="AC8" s="21" t="s">
        <v>13</v>
      </c>
      <c r="AD8" s="21" t="s">
        <v>85</v>
      </c>
      <c r="AE8" s="21" t="s">
        <v>18</v>
      </c>
      <c r="AF8" s="21" t="s">
        <v>19</v>
      </c>
      <c r="AG8" s="21" t="s">
        <v>86</v>
      </c>
      <c r="AH8" s="21" t="s">
        <v>18</v>
      </c>
      <c r="AI8" s="21" t="s">
        <v>19</v>
      </c>
      <c r="AJ8" s="21" t="s">
        <v>86</v>
      </c>
      <c r="AK8" s="21" t="s">
        <v>18</v>
      </c>
      <c r="AL8" s="21" t="s">
        <v>19</v>
      </c>
      <c r="AM8" s="21" t="s">
        <v>86</v>
      </c>
      <c r="AN8" s="21" t="s">
        <v>18</v>
      </c>
      <c r="AO8" s="21" t="s">
        <v>19</v>
      </c>
      <c r="AP8" s="21" t="s">
        <v>86</v>
      </c>
      <c r="AQ8" s="21" t="s">
        <v>18</v>
      </c>
      <c r="AR8" s="21" t="s">
        <v>19</v>
      </c>
      <c r="AS8" s="21" t="s">
        <v>86</v>
      </c>
      <c r="AT8" s="21" t="s">
        <v>100</v>
      </c>
      <c r="AU8" s="21" t="s">
        <v>101</v>
      </c>
    </row>
    <row r="9" spans="1:47" x14ac:dyDescent="0.5">
      <c r="A9" s="28">
        <v>43211.081944444442</v>
      </c>
      <c r="B9" s="21">
        <v>1</v>
      </c>
      <c r="C9" s="21">
        <v>-1</v>
      </c>
      <c r="D9" s="21">
        <v>-1</v>
      </c>
      <c r="E9" s="21">
        <v>-1</v>
      </c>
      <c r="F9" s="21">
        <f>C9*D9</f>
        <v>1</v>
      </c>
      <c r="G9" s="21">
        <f>C9*E9</f>
        <v>1</v>
      </c>
      <c r="H9" s="21">
        <f>D9*E9</f>
        <v>1</v>
      </c>
      <c r="I9" s="21">
        <f>C9*D9*E9</f>
        <v>-1</v>
      </c>
      <c r="J9" s="21">
        <v>513</v>
      </c>
      <c r="K9" s="21">
        <v>256</v>
      </c>
      <c r="L9" s="21" t="s">
        <v>35</v>
      </c>
      <c r="M9" s="21">
        <v>77</v>
      </c>
      <c r="N9" s="21">
        <v>247</v>
      </c>
      <c r="O9" s="21">
        <f>(J9-K9)-(N9-M9)</f>
        <v>87</v>
      </c>
      <c r="P9" s="21">
        <v>0.27</v>
      </c>
      <c r="Q9" s="21">
        <v>0.35937999999999998</v>
      </c>
      <c r="R9" s="21">
        <v>619.596</v>
      </c>
      <c r="S9" s="21">
        <f t="shared" ref="S9:S16" si="0">O9/R9</f>
        <v>0.14041407626905272</v>
      </c>
      <c r="T9" s="29">
        <v>43202.181250000001</v>
      </c>
      <c r="U9" s="21">
        <v>512</v>
      </c>
      <c r="V9" s="21">
        <v>268</v>
      </c>
      <c r="W9" s="21" t="s">
        <v>42</v>
      </c>
      <c r="X9" s="21">
        <v>25</v>
      </c>
      <c r="Y9" s="21">
        <v>210</v>
      </c>
      <c r="Z9" s="21">
        <f>(U9-V9)-(Y9-X9)</f>
        <v>59</v>
      </c>
      <c r="AA9" s="21">
        <v>0.26</v>
      </c>
      <c r="AB9" s="21">
        <v>0.38</v>
      </c>
      <c r="AC9" s="21">
        <v>446.14800000000002</v>
      </c>
      <c r="AD9" s="21">
        <f t="shared" ref="AD9:AD16" si="1">Z9/AC9</f>
        <v>0.13224311215112472</v>
      </c>
      <c r="AE9" s="21">
        <f>AVERAGE(S9,AD9)</f>
        <v>0.13632859421008872</v>
      </c>
      <c r="AF9" s="21">
        <f>((S9-AE9)^2+(AD9-AE9)^2)/(2-1)</f>
        <v>3.3382327308233481E-5</v>
      </c>
      <c r="AG9" s="21">
        <f>SQRT(AF9)</f>
        <v>5.7777441366188486E-3</v>
      </c>
      <c r="AH9" s="21">
        <f t="shared" ref="AH9:AH16" si="2">AVERAGE(O9,Z9)</f>
        <v>73</v>
      </c>
      <c r="AI9" s="21">
        <f t="shared" ref="AI9:AI16" si="3">((O9-AH9)^2+(Z9-AH9)^2)/(2-1)</f>
        <v>392</v>
      </c>
      <c r="AJ9" s="21">
        <f>SQRT(AI9)</f>
        <v>19.798989873223331</v>
      </c>
      <c r="AK9" s="21">
        <f t="shared" ref="AK9:AK16" si="4">AVERAGE(Q9,AB9)</f>
        <v>0.36968999999999996</v>
      </c>
      <c r="AL9" s="21">
        <f t="shared" ref="AL9:AL16" si="5">((Q9-AK9)^2+(AB9-AK9)^2)/(2-1)</f>
        <v>2.1259220000000056E-4</v>
      </c>
      <c r="AM9" s="21">
        <f>SQRT(AL9)</f>
        <v>1.458054182806663E-2</v>
      </c>
      <c r="AN9" s="21">
        <f t="shared" ref="AN9:AN16" si="6">AVERAGE(P9,AA9)</f>
        <v>0.26500000000000001</v>
      </c>
      <c r="AO9" s="21">
        <f t="shared" ref="AO9:AO16" si="7">((P9-AN9)^2+(AA9-AN9)^2)/(2-1)</f>
        <v>5.000000000000009E-5</v>
      </c>
      <c r="AP9" s="21">
        <f>SQRT(AO9)</f>
        <v>7.0710678118654814E-3</v>
      </c>
      <c r="AQ9" s="21">
        <f>AVERAGE(AT9:AU9)</f>
        <v>2.0538333333333333E-3</v>
      </c>
      <c r="AR9" s="21">
        <f>((AT9-AQ9)^2+(AU9-AQ9)^2)/(2-1)</f>
        <v>6.5614876543210517E-9</v>
      </c>
      <c r="AS9" s="21">
        <f>SQRT(AR9)</f>
        <v>8.100301015592601E-5</v>
      </c>
      <c r="AT9" s="21">
        <f>Q9/180</f>
        <v>1.9965555555555552E-3</v>
      </c>
      <c r="AU9" s="21">
        <f>AB9/180</f>
        <v>2.1111111111111113E-3</v>
      </c>
    </row>
    <row r="10" spans="1:47" x14ac:dyDescent="0.5">
      <c r="A10" s="29">
        <v>43211.094444444447</v>
      </c>
      <c r="B10" s="21">
        <v>2</v>
      </c>
      <c r="C10" s="21">
        <v>1</v>
      </c>
      <c r="D10" s="21">
        <v>-1</v>
      </c>
      <c r="E10" s="21">
        <v>-1</v>
      </c>
      <c r="F10" s="21">
        <f t="shared" ref="F10:F16" si="8">C10*D10</f>
        <v>-1</v>
      </c>
      <c r="G10" s="21">
        <f t="shared" ref="G10:G16" si="9">C10*E10</f>
        <v>-1</v>
      </c>
      <c r="H10" s="21">
        <f t="shared" ref="H10:H16" si="10">D10*E10</f>
        <v>1</v>
      </c>
      <c r="I10" s="21">
        <f t="shared" ref="I10:I16" si="11">C10*D10*E10</f>
        <v>1</v>
      </c>
      <c r="J10" s="21">
        <v>521</v>
      </c>
      <c r="K10" s="21">
        <v>261</v>
      </c>
      <c r="L10" s="21" t="s">
        <v>0</v>
      </c>
      <c r="M10" s="21">
        <v>25</v>
      </c>
      <c r="N10" s="21">
        <v>220</v>
      </c>
      <c r="O10" s="21">
        <f t="shared" ref="O10:O16" si="12">(J10-K10)-(N10-M10)</f>
        <v>65</v>
      </c>
      <c r="P10" s="21">
        <v>0.28000000000000003</v>
      </c>
      <c r="Q10" s="21">
        <v>0.61630099999999999</v>
      </c>
      <c r="R10" s="21">
        <v>426.81900000000002</v>
      </c>
      <c r="S10" s="21">
        <f t="shared" si="0"/>
        <v>0.15228937793303485</v>
      </c>
      <c r="T10" s="29">
        <v>43211.166666666664</v>
      </c>
      <c r="U10" s="21">
        <v>516</v>
      </c>
      <c r="V10" s="21">
        <v>271</v>
      </c>
      <c r="W10" s="21" t="s">
        <v>42</v>
      </c>
      <c r="X10" s="21">
        <v>25</v>
      </c>
      <c r="Y10" s="21">
        <v>213</v>
      </c>
      <c r="Z10" s="21">
        <f t="shared" ref="Z10:Z16" si="13">(U10-V10)-(Y10-X10)</f>
        <v>57</v>
      </c>
      <c r="AA10" s="21">
        <f>0.27</f>
        <v>0.27</v>
      </c>
      <c r="AB10" s="21">
        <v>0.55000000000000004</v>
      </c>
      <c r="AC10" s="21">
        <v>537.67200000000003</v>
      </c>
      <c r="AD10" s="21">
        <f t="shared" si="1"/>
        <v>0.10601258759987502</v>
      </c>
      <c r="AE10" s="21">
        <f t="shared" ref="AE10:AE16" si="14">AVERAGE(S10,AD10)</f>
        <v>0.12915098276645492</v>
      </c>
      <c r="AF10" s="21">
        <f t="shared" ref="AF10:AF16" si="15">((S10-AE10)^2+(AD10-AE10)^2)/(2-1)</f>
        <v>1.0707706617696176E-3</v>
      </c>
      <c r="AG10" s="21">
        <f t="shared" ref="AG10:AG16" si="16">SQRT(AF10)</f>
        <v>3.2722632256125386E-2</v>
      </c>
      <c r="AH10" s="21">
        <f t="shared" si="2"/>
        <v>61</v>
      </c>
      <c r="AI10" s="21">
        <f t="shared" si="3"/>
        <v>32</v>
      </c>
      <c r="AJ10" s="21">
        <f t="shared" ref="AJ10:AJ16" si="17">SQRT(AI10)</f>
        <v>5.6568542494923806</v>
      </c>
      <c r="AK10" s="21">
        <f t="shared" si="4"/>
        <v>0.58315050000000002</v>
      </c>
      <c r="AL10" s="21">
        <f t="shared" si="5"/>
        <v>2.1979113004999963E-3</v>
      </c>
      <c r="AM10" s="21">
        <f t="shared" ref="AM10:AM16" si="18">SQRT(AL10)</f>
        <v>4.6881886699449246E-2</v>
      </c>
      <c r="AN10" s="21">
        <f t="shared" si="6"/>
        <v>0.27500000000000002</v>
      </c>
      <c r="AO10" s="21">
        <f t="shared" si="7"/>
        <v>5.000000000000009E-5</v>
      </c>
      <c r="AP10" s="21">
        <f t="shared" ref="AP10:AP16" si="19">SQRT(AO10)</f>
        <v>7.0710678118654814E-3</v>
      </c>
      <c r="AQ10" s="21">
        <f t="shared" ref="AQ10:AQ16" si="20">AVERAGE(AT10:AU10)</f>
        <v>3.2397249999999997E-3</v>
      </c>
      <c r="AR10" s="21">
        <f t="shared" ref="AR10:AR16" si="21">((AT10-AQ10)^2+(AU10-AQ10)^2)/(2-1)</f>
        <v>6.7836768533950452E-8</v>
      </c>
      <c r="AS10" s="21">
        <f t="shared" ref="AS10:AS15" si="22">SQRT(AR10)</f>
        <v>2.6045492610805127E-4</v>
      </c>
      <c r="AT10" s="21">
        <f t="shared" ref="AT10:AT16" si="23">Q10/180</f>
        <v>3.4238944444444442E-3</v>
      </c>
      <c r="AU10" s="21">
        <f t="shared" ref="AU10:AU16" si="24">AB10/180</f>
        <v>3.0555555555555557E-3</v>
      </c>
    </row>
    <row r="11" spans="1:47" x14ac:dyDescent="0.5">
      <c r="A11" s="29">
        <v>43210.19027777778</v>
      </c>
      <c r="B11" s="21">
        <v>3</v>
      </c>
      <c r="C11" s="21">
        <v>-1</v>
      </c>
      <c r="D11" s="21">
        <v>1</v>
      </c>
      <c r="E11" s="21">
        <v>-1</v>
      </c>
      <c r="F11" s="21">
        <f t="shared" si="8"/>
        <v>-1</v>
      </c>
      <c r="G11" s="21">
        <f t="shared" si="9"/>
        <v>1</v>
      </c>
      <c r="H11" s="21">
        <f t="shared" si="10"/>
        <v>-1</v>
      </c>
      <c r="I11" s="21">
        <f t="shared" si="11"/>
        <v>1</v>
      </c>
      <c r="J11" s="21">
        <v>513</v>
      </c>
      <c r="K11" s="21">
        <v>243</v>
      </c>
      <c r="L11" s="21" t="s">
        <v>0</v>
      </c>
      <c r="M11" s="21">
        <v>25</v>
      </c>
      <c r="N11" s="21">
        <v>222</v>
      </c>
      <c r="O11" s="21">
        <f t="shared" si="12"/>
        <v>73</v>
      </c>
      <c r="P11" s="21">
        <v>0.28000000000000003</v>
      </c>
      <c r="Q11" s="21">
        <v>0.27482000000000001</v>
      </c>
      <c r="R11" s="21">
        <v>541.125</v>
      </c>
      <c r="S11" s="21">
        <f t="shared" si="0"/>
        <v>0.13490413490413491</v>
      </c>
      <c r="U11" s="21">
        <v>508</v>
      </c>
      <c r="V11" s="21">
        <v>246</v>
      </c>
      <c r="W11" s="21" t="s">
        <v>42</v>
      </c>
      <c r="X11" s="21">
        <v>25</v>
      </c>
      <c r="Y11" s="21">
        <v>233</v>
      </c>
      <c r="Z11" s="21">
        <f t="shared" si="13"/>
        <v>54</v>
      </c>
      <c r="AA11" s="21">
        <v>0.28000000000000003</v>
      </c>
      <c r="AB11" s="21">
        <v>0.29607</v>
      </c>
      <c r="AC11" s="21">
        <v>376.97800000000001</v>
      </c>
      <c r="AD11" s="21">
        <f t="shared" si="1"/>
        <v>0.14324443336215906</v>
      </c>
      <c r="AE11" s="21">
        <f t="shared" si="14"/>
        <v>0.13907428413314699</v>
      </c>
      <c r="AF11" s="21">
        <f t="shared" si="15"/>
        <v>3.4780289184459943E-5</v>
      </c>
      <c r="AG11" s="21">
        <f t="shared" si="16"/>
        <v>5.8974815967885773E-3</v>
      </c>
      <c r="AH11" s="21">
        <f t="shared" si="2"/>
        <v>63.5</v>
      </c>
      <c r="AI11" s="21">
        <f t="shared" si="3"/>
        <v>180.5</v>
      </c>
      <c r="AJ11" s="21">
        <f t="shared" si="17"/>
        <v>13.435028842544403</v>
      </c>
      <c r="AK11" s="21">
        <f t="shared" si="4"/>
        <v>0.285445</v>
      </c>
      <c r="AL11" s="21">
        <f t="shared" si="5"/>
        <v>2.257812499999998E-4</v>
      </c>
      <c r="AM11" s="21">
        <f t="shared" si="18"/>
        <v>1.5026019100214128E-2</v>
      </c>
      <c r="AN11" s="21">
        <f t="shared" si="6"/>
        <v>0.28000000000000003</v>
      </c>
      <c r="AO11" s="21">
        <f t="shared" si="7"/>
        <v>0</v>
      </c>
      <c r="AP11" s="21">
        <f t="shared" si="19"/>
        <v>0</v>
      </c>
      <c r="AQ11" s="21">
        <f t="shared" si="20"/>
        <v>1.5858055555555556E-3</v>
      </c>
      <c r="AR11" s="21">
        <f t="shared" si="21"/>
        <v>6.96855709876545E-9</v>
      </c>
      <c r="AS11" s="21">
        <f t="shared" si="22"/>
        <v>8.3477883890078629E-5</v>
      </c>
      <c r="AT11" s="21">
        <f t="shared" si="23"/>
        <v>1.5267777777777777E-3</v>
      </c>
      <c r="AU11" s="21">
        <f t="shared" si="24"/>
        <v>1.6448333333333334E-3</v>
      </c>
    </row>
    <row r="12" spans="1:47" x14ac:dyDescent="0.5">
      <c r="A12" s="29">
        <v>43211.058333333334</v>
      </c>
      <c r="B12" s="21">
        <v>4</v>
      </c>
      <c r="C12" s="21">
        <v>1</v>
      </c>
      <c r="D12" s="21">
        <v>1</v>
      </c>
      <c r="E12" s="21">
        <v>-1</v>
      </c>
      <c r="F12" s="21">
        <f t="shared" si="8"/>
        <v>1</v>
      </c>
      <c r="G12" s="21">
        <f t="shared" si="9"/>
        <v>-1</v>
      </c>
      <c r="H12" s="21">
        <f t="shared" si="10"/>
        <v>-1</v>
      </c>
      <c r="I12" s="21">
        <f t="shared" si="11"/>
        <v>-1</v>
      </c>
      <c r="J12" s="21">
        <v>510</v>
      </c>
      <c r="K12" s="21">
        <v>250</v>
      </c>
      <c r="L12" s="21" t="s">
        <v>1</v>
      </c>
      <c r="M12" s="21">
        <v>26</v>
      </c>
      <c r="N12" s="21">
        <v>215</v>
      </c>
      <c r="O12" s="21">
        <f t="shared" si="12"/>
        <v>71</v>
      </c>
      <c r="P12" s="21">
        <v>0.27</v>
      </c>
      <c r="Q12" s="21">
        <v>0.59206000000000003</v>
      </c>
      <c r="R12" s="21">
        <v>409.791</v>
      </c>
      <c r="S12" s="21">
        <f t="shared" si="0"/>
        <v>0.17325905156531013</v>
      </c>
      <c r="T12" s="29">
        <v>43211.15625</v>
      </c>
      <c r="U12" s="21">
        <v>506</v>
      </c>
      <c r="V12" s="21">
        <v>252</v>
      </c>
      <c r="W12" s="21" t="s">
        <v>1</v>
      </c>
      <c r="X12" s="21">
        <v>26</v>
      </c>
      <c r="Y12" s="21">
        <v>214</v>
      </c>
      <c r="Z12" s="21">
        <f t="shared" si="13"/>
        <v>66</v>
      </c>
      <c r="AA12" s="21">
        <v>0.27</v>
      </c>
      <c r="AB12" s="21">
        <v>0.35587999999999997</v>
      </c>
      <c r="AC12" s="21">
        <v>537.67200000000003</v>
      </c>
      <c r="AD12" s="21">
        <f t="shared" si="1"/>
        <v>0.1227514172209079</v>
      </c>
      <c r="AE12" s="21">
        <f t="shared" si="14"/>
        <v>0.14800523439310903</v>
      </c>
      <c r="AF12" s="21">
        <f t="shared" si="15"/>
        <v>1.2755105635339197E-3</v>
      </c>
      <c r="AG12" s="21">
        <f t="shared" si="16"/>
        <v>3.5714290746617382E-2</v>
      </c>
      <c r="AH12" s="21">
        <f t="shared" si="2"/>
        <v>68.5</v>
      </c>
      <c r="AI12" s="21">
        <f t="shared" si="3"/>
        <v>12.5</v>
      </c>
      <c r="AJ12" s="21">
        <f t="shared" si="17"/>
        <v>3.5355339059327378</v>
      </c>
      <c r="AK12" s="21">
        <f t="shared" si="4"/>
        <v>0.47397</v>
      </c>
      <c r="AL12" s="21">
        <f t="shared" si="5"/>
        <v>2.7890496200000014E-2</v>
      </c>
      <c r="AM12" s="21">
        <f t="shared" si="18"/>
        <v>0.16700447958063883</v>
      </c>
      <c r="AN12" s="21">
        <f t="shared" si="6"/>
        <v>0.27</v>
      </c>
      <c r="AO12" s="21">
        <f t="shared" si="7"/>
        <v>0</v>
      </c>
      <c r="AP12" s="21">
        <f t="shared" si="19"/>
        <v>0</v>
      </c>
      <c r="AQ12" s="21">
        <f t="shared" si="20"/>
        <v>2.6331666666666665E-3</v>
      </c>
      <c r="AR12" s="21">
        <f t="shared" si="21"/>
        <v>8.6081778395061778E-7</v>
      </c>
      <c r="AS12" s="21">
        <f t="shared" si="22"/>
        <v>9.2780266433688241E-4</v>
      </c>
      <c r="AT12" s="21">
        <f t="shared" si="23"/>
        <v>3.2892222222222225E-3</v>
      </c>
      <c r="AU12" s="21">
        <f t="shared" si="24"/>
        <v>1.9771111111111109E-3</v>
      </c>
    </row>
    <row r="13" spans="1:47" x14ac:dyDescent="0.5">
      <c r="A13" s="29">
        <v>43210.169444444444</v>
      </c>
      <c r="B13" s="21">
        <v>5</v>
      </c>
      <c r="C13" s="21">
        <v>-1</v>
      </c>
      <c r="D13" s="21">
        <v>-1</v>
      </c>
      <c r="E13" s="21">
        <v>1</v>
      </c>
      <c r="F13" s="21">
        <f t="shared" si="8"/>
        <v>1</v>
      </c>
      <c r="G13" s="21">
        <f t="shared" si="9"/>
        <v>-1</v>
      </c>
      <c r="H13" s="21">
        <f t="shared" si="10"/>
        <v>-1</v>
      </c>
      <c r="I13" s="21">
        <f t="shared" si="11"/>
        <v>1</v>
      </c>
      <c r="J13" s="21">
        <v>521</v>
      </c>
      <c r="K13" s="21">
        <v>260</v>
      </c>
      <c r="L13" s="21" t="s">
        <v>0</v>
      </c>
      <c r="M13" s="21">
        <v>25</v>
      </c>
      <c r="N13" s="21">
        <f>210+20</f>
        <v>230</v>
      </c>
      <c r="O13" s="21">
        <f t="shared" si="12"/>
        <v>56</v>
      </c>
      <c r="P13" s="21">
        <v>0.27</v>
      </c>
      <c r="Q13" s="21">
        <v>0.29603000000000002</v>
      </c>
      <c r="R13" s="21">
        <v>400.90100000000001</v>
      </c>
      <c r="S13" s="21">
        <f t="shared" si="0"/>
        <v>0.13968535872946189</v>
      </c>
      <c r="T13" s="29">
        <v>43211.208333333336</v>
      </c>
      <c r="U13" s="21">
        <v>498</v>
      </c>
      <c r="V13" s="21">
        <v>273</v>
      </c>
      <c r="W13" s="21" t="s">
        <v>1</v>
      </c>
      <c r="X13" s="21">
        <v>26</v>
      </c>
      <c r="Y13" s="21">
        <f>182+20</f>
        <v>202</v>
      </c>
      <c r="Z13" s="21">
        <f t="shared" si="13"/>
        <v>49</v>
      </c>
      <c r="AA13" s="21">
        <v>0.27</v>
      </c>
      <c r="AB13" s="21">
        <v>0.32</v>
      </c>
      <c r="AC13" s="21">
        <v>342.47899999999998</v>
      </c>
      <c r="AD13" s="21">
        <f t="shared" si="1"/>
        <v>0.14307446587965977</v>
      </c>
      <c r="AE13" s="21">
        <f t="shared" si="14"/>
        <v>0.14137991230456082</v>
      </c>
      <c r="AF13" s="21">
        <f t="shared" si="15"/>
        <v>5.7430236377612124E-6</v>
      </c>
      <c r="AG13" s="21">
        <f t="shared" si="16"/>
        <v>2.3964606480727391E-3</v>
      </c>
      <c r="AH13" s="21">
        <f t="shared" si="2"/>
        <v>52.5</v>
      </c>
      <c r="AI13" s="21">
        <f t="shared" si="3"/>
        <v>24.5</v>
      </c>
      <c r="AJ13" s="21">
        <f t="shared" si="17"/>
        <v>4.9497474683058327</v>
      </c>
      <c r="AK13" s="21">
        <f t="shared" si="4"/>
        <v>0.30801500000000004</v>
      </c>
      <c r="AL13" s="21">
        <f t="shared" si="5"/>
        <v>2.8728044999999983E-4</v>
      </c>
      <c r="AM13" s="21">
        <f t="shared" si="18"/>
        <v>1.6949349545041539E-2</v>
      </c>
      <c r="AN13" s="21">
        <f t="shared" si="6"/>
        <v>0.27</v>
      </c>
      <c r="AO13" s="21">
        <f t="shared" si="7"/>
        <v>0</v>
      </c>
      <c r="AP13" s="21">
        <f t="shared" si="19"/>
        <v>0</v>
      </c>
      <c r="AQ13" s="21">
        <f t="shared" si="20"/>
        <v>1.7111944444444444E-3</v>
      </c>
      <c r="AR13" s="21">
        <f t="shared" si="21"/>
        <v>8.8666805555555526E-9</v>
      </c>
      <c r="AS13" s="21">
        <f t="shared" si="22"/>
        <v>9.4163053028008565E-5</v>
      </c>
      <c r="AT13" s="21">
        <f t="shared" si="23"/>
        <v>1.6446111111111112E-3</v>
      </c>
      <c r="AU13" s="21">
        <f t="shared" si="24"/>
        <v>1.7777777777777779E-3</v>
      </c>
    </row>
    <row r="14" spans="1:47" x14ac:dyDescent="0.5">
      <c r="A14" s="29">
        <v>43210.15347222222</v>
      </c>
      <c r="B14" s="21">
        <v>6</v>
      </c>
      <c r="C14" s="21">
        <v>-1</v>
      </c>
      <c r="D14" s="21">
        <v>1</v>
      </c>
      <c r="E14" s="21">
        <v>1</v>
      </c>
      <c r="F14" s="21">
        <f t="shared" si="8"/>
        <v>-1</v>
      </c>
      <c r="G14" s="21">
        <f t="shared" si="9"/>
        <v>-1</v>
      </c>
      <c r="H14" s="21">
        <f t="shared" si="10"/>
        <v>1</v>
      </c>
      <c r="I14" s="21">
        <f t="shared" si="11"/>
        <v>-1</v>
      </c>
      <c r="J14" s="21">
        <v>514</v>
      </c>
      <c r="K14" s="21">
        <v>243</v>
      </c>
      <c r="L14" s="21" t="s">
        <v>1</v>
      </c>
      <c r="M14" s="21">
        <v>26</v>
      </c>
      <c r="N14" s="21">
        <f>223+20</f>
        <v>243</v>
      </c>
      <c r="O14" s="21">
        <f t="shared" si="12"/>
        <v>54</v>
      </c>
      <c r="P14" s="21">
        <v>0.27</v>
      </c>
      <c r="Q14" s="21">
        <v>0.28312999999999999</v>
      </c>
      <c r="R14" s="21">
        <v>424.09500000000003</v>
      </c>
      <c r="S14" s="21">
        <f t="shared" si="0"/>
        <v>0.12732996144731723</v>
      </c>
      <c r="T14" s="29">
        <v>43211.229166666664</v>
      </c>
      <c r="U14" s="21">
        <v>502</v>
      </c>
      <c r="V14" s="21">
        <v>251</v>
      </c>
      <c r="W14" s="21" t="s">
        <v>1</v>
      </c>
      <c r="X14" s="21">
        <v>26</v>
      </c>
      <c r="Y14" s="21">
        <f>214+20</f>
        <v>234</v>
      </c>
      <c r="Z14" s="21">
        <f t="shared" si="13"/>
        <v>43</v>
      </c>
      <c r="AA14" s="21">
        <v>0.27</v>
      </c>
      <c r="AB14" s="21">
        <v>0.24665999999999999</v>
      </c>
      <c r="AC14" s="21">
        <v>369.22699999999998</v>
      </c>
      <c r="AD14" s="21">
        <f t="shared" si="1"/>
        <v>0.11645952219095571</v>
      </c>
      <c r="AE14" s="21">
        <f t="shared" si="14"/>
        <v>0.12189474181913647</v>
      </c>
      <c r="AF14" s="21">
        <f t="shared" si="15"/>
        <v>5.9083224813122853E-5</v>
      </c>
      <c r="AG14" s="21">
        <f t="shared" si="16"/>
        <v>7.6865613126496854E-3</v>
      </c>
      <c r="AH14" s="21">
        <f t="shared" si="2"/>
        <v>48.5</v>
      </c>
      <c r="AI14" s="21">
        <f t="shared" si="3"/>
        <v>60.5</v>
      </c>
      <c r="AJ14" s="21">
        <f t="shared" si="17"/>
        <v>7.7781745930520225</v>
      </c>
      <c r="AK14" s="21">
        <f t="shared" si="4"/>
        <v>0.26489499999999999</v>
      </c>
      <c r="AL14" s="21">
        <f t="shared" si="5"/>
        <v>6.6503045000000009E-4</v>
      </c>
      <c r="AM14" s="21">
        <f t="shared" si="18"/>
        <v>2.578818430987339E-2</v>
      </c>
      <c r="AN14" s="21">
        <f t="shared" si="6"/>
        <v>0.27</v>
      </c>
      <c r="AO14" s="21">
        <f t="shared" si="7"/>
        <v>0</v>
      </c>
      <c r="AP14" s="21">
        <f t="shared" si="19"/>
        <v>0</v>
      </c>
      <c r="AQ14" s="21">
        <f t="shared" si="20"/>
        <v>1.4716388888888886E-3</v>
      </c>
      <c r="AR14" s="21">
        <f t="shared" si="21"/>
        <v>2.0525631172839501E-8</v>
      </c>
      <c r="AS14" s="21">
        <f t="shared" si="22"/>
        <v>1.4326769061040768E-4</v>
      </c>
      <c r="AT14" s="21">
        <f t="shared" si="23"/>
        <v>1.5729444444444443E-3</v>
      </c>
      <c r="AU14" s="21">
        <f t="shared" si="24"/>
        <v>1.3703333333333332E-3</v>
      </c>
    </row>
    <row r="15" spans="1:47" x14ac:dyDescent="0.5">
      <c r="A15" s="29">
        <v>43210.085416666669</v>
      </c>
      <c r="B15" s="21">
        <v>7</v>
      </c>
      <c r="C15" s="21">
        <v>1</v>
      </c>
      <c r="D15" s="21">
        <v>-1</v>
      </c>
      <c r="E15" s="21">
        <v>1</v>
      </c>
      <c r="F15" s="21">
        <f t="shared" si="8"/>
        <v>-1</v>
      </c>
      <c r="G15" s="21">
        <f t="shared" si="9"/>
        <v>1</v>
      </c>
      <c r="H15" s="21">
        <f t="shared" si="10"/>
        <v>-1</v>
      </c>
      <c r="I15" s="21">
        <f t="shared" si="11"/>
        <v>-1</v>
      </c>
      <c r="J15" s="21">
        <v>520</v>
      </c>
      <c r="K15" s="21">
        <v>285</v>
      </c>
      <c r="L15" s="21" t="s">
        <v>0</v>
      </c>
      <c r="M15" s="21">
        <v>25</v>
      </c>
      <c r="N15" s="21">
        <f>168+20</f>
        <v>188</v>
      </c>
      <c r="O15" s="21">
        <f t="shared" si="12"/>
        <v>72</v>
      </c>
      <c r="P15" s="21">
        <v>0.26</v>
      </c>
      <c r="Q15" s="21">
        <v>0.34111999999999998</v>
      </c>
      <c r="R15" s="21">
        <v>523.80499999999995</v>
      </c>
      <c r="S15" s="21">
        <f t="shared" si="0"/>
        <v>0.13745573257223587</v>
      </c>
      <c r="T15" s="29">
        <v>43211.270833333336</v>
      </c>
      <c r="U15" s="21">
        <v>510</v>
      </c>
      <c r="V15" s="21">
        <v>269</v>
      </c>
      <c r="W15" s="21" t="s">
        <v>42</v>
      </c>
      <c r="X15" s="21">
        <v>25</v>
      </c>
      <c r="Y15" s="21">
        <f>200+20</f>
        <v>220</v>
      </c>
      <c r="Z15" s="21">
        <f t="shared" si="13"/>
        <v>46</v>
      </c>
      <c r="AA15" s="21">
        <v>0.27</v>
      </c>
      <c r="AB15" s="21">
        <v>0.31640000000000001</v>
      </c>
      <c r="AC15" s="21">
        <v>409.827</v>
      </c>
      <c r="AD15" s="21">
        <f t="shared" si="1"/>
        <v>0.11224248280371962</v>
      </c>
      <c r="AE15" s="21">
        <f t="shared" si="14"/>
        <v>0.12484910768797775</v>
      </c>
      <c r="AF15" s="21">
        <f t="shared" si="15"/>
        <v>3.1785398194479224E-4</v>
      </c>
      <c r="AG15" s="21">
        <f t="shared" si="16"/>
        <v>1.7828459887067986E-2</v>
      </c>
      <c r="AH15" s="21">
        <f t="shared" si="2"/>
        <v>59</v>
      </c>
      <c r="AI15" s="21">
        <f t="shared" si="3"/>
        <v>338</v>
      </c>
      <c r="AJ15" s="21">
        <f t="shared" si="17"/>
        <v>18.384776310850235</v>
      </c>
      <c r="AK15" s="21">
        <f t="shared" si="4"/>
        <v>0.32876</v>
      </c>
      <c r="AL15" s="21">
        <f t="shared" si="5"/>
        <v>3.0553919999999911E-4</v>
      </c>
      <c r="AM15" s="21">
        <f t="shared" si="18"/>
        <v>1.747967963093143E-2</v>
      </c>
      <c r="AN15" s="21">
        <f t="shared" si="6"/>
        <v>0.26500000000000001</v>
      </c>
      <c r="AO15" s="21">
        <f t="shared" si="7"/>
        <v>5.000000000000009E-5</v>
      </c>
      <c r="AP15" s="21">
        <f t="shared" si="19"/>
        <v>7.0710678118654814E-3</v>
      </c>
      <c r="AQ15" s="21">
        <f t="shared" si="20"/>
        <v>1.8264444444444443E-3</v>
      </c>
      <c r="AR15" s="21">
        <f t="shared" si="21"/>
        <v>9.4302222222222142E-9</v>
      </c>
      <c r="AS15" s="21">
        <f t="shared" si="22"/>
        <v>9.7109331282952481E-5</v>
      </c>
      <c r="AT15" s="21">
        <f t="shared" si="23"/>
        <v>1.8951111111111111E-3</v>
      </c>
      <c r="AU15" s="21">
        <f t="shared" si="24"/>
        <v>1.7577777777777778E-3</v>
      </c>
    </row>
    <row r="16" spans="1:47" x14ac:dyDescent="0.5">
      <c r="A16" s="30">
        <v>43210.151388888888</v>
      </c>
      <c r="B16" s="21">
        <v>8</v>
      </c>
      <c r="C16" s="21">
        <v>1</v>
      </c>
      <c r="D16" s="21">
        <v>1</v>
      </c>
      <c r="E16" s="21">
        <v>1</v>
      </c>
      <c r="F16" s="21">
        <f t="shared" si="8"/>
        <v>1</v>
      </c>
      <c r="G16" s="21">
        <f t="shared" si="9"/>
        <v>1</v>
      </c>
      <c r="H16" s="21">
        <f t="shared" si="10"/>
        <v>1</v>
      </c>
      <c r="I16" s="21">
        <f t="shared" si="11"/>
        <v>1</v>
      </c>
      <c r="J16" s="21">
        <v>505</v>
      </c>
      <c r="K16" s="21">
        <v>247</v>
      </c>
      <c r="L16" s="21" t="s">
        <v>35</v>
      </c>
      <c r="M16" s="21">
        <v>77</v>
      </c>
      <c r="N16" s="21">
        <f>264+20</f>
        <v>284</v>
      </c>
      <c r="O16" s="21">
        <f t="shared" si="12"/>
        <v>51</v>
      </c>
      <c r="P16" s="21">
        <v>0.27</v>
      </c>
      <c r="Q16" s="21">
        <v>0.24137</v>
      </c>
      <c r="R16" s="21">
        <v>421.73099999999999</v>
      </c>
      <c r="S16" s="21">
        <f t="shared" si="0"/>
        <v>0.12093016638568187</v>
      </c>
      <c r="T16" s="29">
        <v>43211.244444444441</v>
      </c>
      <c r="U16" s="21">
        <v>505</v>
      </c>
      <c r="V16" s="21">
        <v>249</v>
      </c>
      <c r="W16" s="21" t="s">
        <v>42</v>
      </c>
      <c r="X16" s="21">
        <v>25</v>
      </c>
      <c r="Y16" s="21">
        <f>220+20</f>
        <v>240</v>
      </c>
      <c r="Z16" s="21">
        <f t="shared" si="13"/>
        <v>41</v>
      </c>
      <c r="AA16" s="21">
        <v>0.27</v>
      </c>
      <c r="AB16" s="21">
        <v>0.24549000000000001</v>
      </c>
      <c r="AC16" s="21">
        <v>380.10700000000003</v>
      </c>
      <c r="AD16" s="21">
        <f t="shared" si="1"/>
        <v>0.10786436450788855</v>
      </c>
      <c r="AE16" s="21">
        <f t="shared" si="14"/>
        <v>0.11439726544678522</v>
      </c>
      <c r="AF16" s="21">
        <f t="shared" si="15"/>
        <v>8.5357589354873622E-5</v>
      </c>
      <c r="AG16" s="21">
        <f t="shared" si="16"/>
        <v>9.2389171094275774E-3</v>
      </c>
      <c r="AH16" s="21">
        <f t="shared" si="2"/>
        <v>46</v>
      </c>
      <c r="AI16" s="21">
        <f t="shared" si="3"/>
        <v>50</v>
      </c>
      <c r="AJ16" s="21">
        <f t="shared" si="17"/>
        <v>7.0710678118654755</v>
      </c>
      <c r="AK16" s="21">
        <f t="shared" si="4"/>
        <v>0.24343000000000001</v>
      </c>
      <c r="AL16" s="21">
        <f t="shared" si="5"/>
        <v>8.4872000000000515E-6</v>
      </c>
      <c r="AM16" s="21">
        <f t="shared" si="18"/>
        <v>2.9132799384885845E-3</v>
      </c>
      <c r="AN16" s="21">
        <f t="shared" si="6"/>
        <v>0.27</v>
      </c>
      <c r="AO16" s="21">
        <f t="shared" si="7"/>
        <v>0</v>
      </c>
      <c r="AP16" s="21">
        <f t="shared" si="19"/>
        <v>0</v>
      </c>
      <c r="AQ16" s="21">
        <f t="shared" si="20"/>
        <v>1.3523888888888891E-3</v>
      </c>
      <c r="AR16" s="21">
        <f t="shared" si="21"/>
        <v>2.619506172839512E-10</v>
      </c>
      <c r="AS16" s="21">
        <f>SQRT(AR16)</f>
        <v>1.6184888547158773E-5</v>
      </c>
      <c r="AT16" s="21">
        <f t="shared" si="23"/>
        <v>1.3409444444444445E-3</v>
      </c>
      <c r="AU16" s="21">
        <f t="shared" si="24"/>
        <v>1.3638333333333334E-3</v>
      </c>
    </row>
    <row r="17" spans="1:44" x14ac:dyDescent="0.5">
      <c r="A17" s="31"/>
      <c r="B17" s="31"/>
      <c r="C17" s="31"/>
      <c r="D17" s="31"/>
      <c r="E17" s="31"/>
      <c r="F17" s="31"/>
      <c r="G17" s="31"/>
      <c r="H17" s="31"/>
      <c r="I17" s="31"/>
      <c r="J17" s="32"/>
      <c r="K17" s="32"/>
      <c r="L17" s="32"/>
      <c r="AE17" s="21" t="s">
        <v>49</v>
      </c>
      <c r="AF17" s="21">
        <f>SUM(AF9:AF16)/8</f>
        <v>3.6031020769334757E-4</v>
      </c>
      <c r="AH17" s="21" t="s">
        <v>49</v>
      </c>
      <c r="AI17" s="21">
        <f>SUM(AI9:AI16)/8</f>
        <v>136.25</v>
      </c>
      <c r="AK17" s="21" t="s">
        <v>49</v>
      </c>
      <c r="AL17" s="21">
        <f>SUM(AL9:AL16)/8</f>
        <v>3.9741397813125006E-3</v>
      </c>
      <c r="AN17" s="21" t="s">
        <v>49</v>
      </c>
      <c r="AO17" s="21">
        <f>SUM(AO9:AO16)/8</f>
        <v>1.8750000000000036E-5</v>
      </c>
      <c r="AQ17" s="21" t="s">
        <v>49</v>
      </c>
      <c r="AR17" s="21">
        <f>SUM(AR9:AR16)/8</f>
        <v>1.2265863522569451E-7</v>
      </c>
    </row>
    <row r="18" spans="1:44" s="34" customFormat="1" x14ac:dyDescent="0.5">
      <c r="A18" s="33"/>
      <c r="B18" s="33"/>
      <c r="C18" s="33"/>
      <c r="D18" s="33"/>
      <c r="E18" s="33"/>
      <c r="F18" s="33"/>
      <c r="G18" s="33"/>
      <c r="H18" s="33"/>
      <c r="I18" s="33"/>
      <c r="AE18" s="34" t="s">
        <v>50</v>
      </c>
      <c r="AF18" s="34">
        <f>SQRT(AF17)</f>
        <v>1.8981838891249381E-2</v>
      </c>
      <c r="AH18" s="34" t="s">
        <v>50</v>
      </c>
      <c r="AI18" s="34">
        <f>SQRT(AI17)</f>
        <v>11.672617529928752</v>
      </c>
      <c r="AK18" s="34" t="s">
        <v>50</v>
      </c>
      <c r="AL18" s="34">
        <f>SQRT(AL17)</f>
        <v>6.3040778717529347E-2</v>
      </c>
      <c r="AN18" s="34" t="s">
        <v>50</v>
      </c>
      <c r="AO18" s="34">
        <f>SQRT(AO17)</f>
        <v>4.3301270189221976E-3</v>
      </c>
      <c r="AQ18" s="34" t="s">
        <v>50</v>
      </c>
      <c r="AR18" s="34">
        <f>SQRT(AR17)</f>
        <v>3.5022654843071862E-4</v>
      </c>
    </row>
    <row r="19" spans="1:44" s="34" customFormat="1" x14ac:dyDescent="0.5">
      <c r="C19" s="35"/>
      <c r="E19" s="36"/>
      <c r="H19" s="36"/>
      <c r="I19" s="35"/>
      <c r="AE19" s="34" t="s">
        <v>51</v>
      </c>
      <c r="AF19" s="34">
        <f>AF18/SQRT(16)</f>
        <v>4.7454597228123452E-3</v>
      </c>
      <c r="AH19" s="34" t="s">
        <v>51</v>
      </c>
      <c r="AI19" s="34">
        <f>AI18/SQRT(16)</f>
        <v>2.9181543824821881</v>
      </c>
      <c r="AK19" s="34" t="s">
        <v>51</v>
      </c>
      <c r="AL19" s="34">
        <f>AL18/SQRT(16)</f>
        <v>1.5760194679382337E-2</v>
      </c>
      <c r="AN19" s="34" t="s">
        <v>51</v>
      </c>
      <c r="AO19" s="34">
        <f>AO18/SQRT(16)</f>
        <v>1.0825317547305494E-3</v>
      </c>
      <c r="AQ19" s="34" t="s">
        <v>51</v>
      </c>
      <c r="AR19" s="34">
        <f>AR18/SQRT(16)</f>
        <v>8.7556637107679655E-5</v>
      </c>
    </row>
    <row r="20" spans="1:44" s="34" customFormat="1" x14ac:dyDescent="0.5">
      <c r="C20" s="35"/>
      <c r="E20" s="36"/>
      <c r="H20" s="36"/>
      <c r="I20" s="35"/>
      <c r="AE20" s="36" t="s">
        <v>52</v>
      </c>
      <c r="AF20" s="34">
        <f>2*AF19</f>
        <v>9.4909194456246904E-3</v>
      </c>
      <c r="AH20" s="36" t="s">
        <v>52</v>
      </c>
      <c r="AI20" s="34">
        <f>2*AI19</f>
        <v>5.8363087649643761</v>
      </c>
      <c r="AK20" s="36" t="s">
        <v>52</v>
      </c>
      <c r="AL20" s="34">
        <f>2*AL19</f>
        <v>3.1520389358764674E-2</v>
      </c>
      <c r="AN20" s="36" t="s">
        <v>52</v>
      </c>
      <c r="AO20" s="34">
        <f>2*AO19</f>
        <v>2.1650635094610988E-3</v>
      </c>
      <c r="AQ20" s="36" t="s">
        <v>52</v>
      </c>
      <c r="AR20" s="34">
        <f>2*AR19</f>
        <v>1.7511327421535931E-4</v>
      </c>
    </row>
    <row r="21" spans="1:44" x14ac:dyDescent="0.5">
      <c r="A21" s="34"/>
      <c r="B21" s="34"/>
      <c r="C21" s="35"/>
      <c r="D21" s="34"/>
      <c r="E21" s="34"/>
      <c r="F21" s="34"/>
      <c r="G21" s="34"/>
      <c r="H21" s="34"/>
      <c r="I21" s="35"/>
    </row>
    <row r="22" spans="1:44" x14ac:dyDescent="0.5">
      <c r="A22" s="34"/>
      <c r="B22" s="34"/>
      <c r="C22" s="35"/>
      <c r="D22" s="34"/>
      <c r="E22" s="34"/>
      <c r="F22" s="34"/>
      <c r="G22" s="34"/>
      <c r="H22" s="34"/>
      <c r="I22" s="35"/>
    </row>
    <row r="23" spans="1:44" x14ac:dyDescent="0.5">
      <c r="A23" s="34"/>
      <c r="B23" s="34"/>
      <c r="C23" s="35"/>
      <c r="D23" s="34"/>
      <c r="E23" s="34"/>
      <c r="F23" s="34"/>
      <c r="G23" s="34"/>
      <c r="H23" s="34"/>
      <c r="I23" s="35"/>
    </row>
    <row r="24" spans="1:44" x14ac:dyDescent="0.5">
      <c r="A24" s="31"/>
      <c r="B24" s="31"/>
      <c r="C24" s="31"/>
      <c r="D24" s="31"/>
      <c r="E24" s="31"/>
      <c r="F24" s="31"/>
      <c r="G24" s="31"/>
      <c r="H24" s="31"/>
      <c r="I24" s="31"/>
      <c r="J24" s="32"/>
      <c r="K24" s="32"/>
      <c r="L24" s="32"/>
    </row>
    <row r="25" spans="1:44" x14ac:dyDescent="0.5">
      <c r="A25" s="33"/>
      <c r="B25" s="33"/>
      <c r="C25" s="33"/>
      <c r="D25" s="33"/>
      <c r="E25" s="33"/>
      <c r="F25" s="33"/>
      <c r="G25" s="33"/>
      <c r="H25" s="33"/>
      <c r="I25" s="33"/>
    </row>
    <row r="26" spans="1:44" x14ac:dyDescent="0.5">
      <c r="A26" s="34"/>
      <c r="B26" s="34"/>
      <c r="C26" s="35"/>
      <c r="D26" s="34"/>
      <c r="E26" s="36"/>
      <c r="F26" s="35"/>
      <c r="G26" s="34"/>
      <c r="H26" s="36"/>
      <c r="I26" s="35"/>
    </row>
    <row r="27" spans="1:44" x14ac:dyDescent="0.5">
      <c r="A27" s="34"/>
      <c r="B27" s="34"/>
      <c r="C27" s="35"/>
      <c r="D27" s="34"/>
      <c r="E27" s="36"/>
      <c r="F27" s="35"/>
      <c r="G27" s="34"/>
      <c r="H27" s="36"/>
      <c r="I27" s="35"/>
    </row>
    <row r="28" spans="1:44" x14ac:dyDescent="0.5">
      <c r="A28" s="34"/>
      <c r="B28" s="34"/>
      <c r="C28" s="35"/>
      <c r="D28" s="34"/>
      <c r="E28" s="34"/>
      <c r="F28" s="35"/>
      <c r="G28" s="34"/>
      <c r="H28" s="34"/>
      <c r="I28" s="35"/>
    </row>
    <row r="29" spans="1:44" x14ac:dyDescent="0.5">
      <c r="A29" s="34"/>
      <c r="B29" s="34"/>
      <c r="C29" s="35"/>
      <c r="D29" s="34"/>
      <c r="E29" s="34"/>
      <c r="F29" s="35"/>
      <c r="G29" s="34"/>
      <c r="H29" s="34"/>
      <c r="I29" s="35"/>
    </row>
    <row r="30" spans="1:44" x14ac:dyDescent="0.5">
      <c r="A30" s="34"/>
      <c r="B30" s="34"/>
      <c r="C30" s="35"/>
      <c r="D30" s="34"/>
      <c r="E30" s="34"/>
      <c r="F30" s="35"/>
      <c r="G30" s="34"/>
      <c r="H30" s="34"/>
      <c r="I30" s="35"/>
    </row>
    <row r="31" spans="1:44" x14ac:dyDescent="0.5">
      <c r="A31" s="31"/>
      <c r="B31" s="31"/>
      <c r="C31" s="31"/>
      <c r="D31" s="31"/>
      <c r="E31" s="31"/>
      <c r="F31" s="31"/>
      <c r="G31" s="31"/>
      <c r="H31" s="31"/>
      <c r="I31" s="31"/>
      <c r="J31" s="32"/>
      <c r="K31" s="32"/>
      <c r="L31" s="32"/>
    </row>
    <row r="32" spans="1:44" x14ac:dyDescent="0.5">
      <c r="A32" s="33"/>
      <c r="B32" s="33"/>
      <c r="C32" s="33"/>
      <c r="D32" s="33"/>
      <c r="E32" s="33"/>
      <c r="F32" s="33"/>
      <c r="G32" s="33"/>
      <c r="H32" s="33"/>
      <c r="I32" s="33"/>
    </row>
    <row r="33" spans="1:18" x14ac:dyDescent="0.5">
      <c r="A33" s="34"/>
      <c r="B33" s="34"/>
      <c r="C33" s="35"/>
      <c r="D33" s="34"/>
      <c r="E33" s="36"/>
      <c r="F33" s="35"/>
      <c r="G33" s="34"/>
      <c r="H33" s="36"/>
      <c r="I33" s="35"/>
    </row>
    <row r="34" spans="1:18" x14ac:dyDescent="0.5">
      <c r="A34" s="34"/>
      <c r="B34" s="34"/>
      <c r="C34" s="35"/>
      <c r="D34" s="34"/>
      <c r="E34" s="36"/>
      <c r="F34" s="35"/>
      <c r="G34" s="34"/>
      <c r="H34" s="36"/>
      <c r="I34" s="35"/>
    </row>
    <row r="35" spans="1:18" x14ac:dyDescent="0.5">
      <c r="A35" s="34"/>
      <c r="B35" s="34"/>
      <c r="C35" s="35"/>
      <c r="D35" s="34"/>
      <c r="E35" s="34"/>
      <c r="F35" s="35"/>
      <c r="G35" s="34"/>
      <c r="H35" s="34"/>
      <c r="I35" s="35"/>
    </row>
    <row r="36" spans="1:18" x14ac:dyDescent="0.5">
      <c r="A36" s="34"/>
      <c r="B36" s="34"/>
      <c r="C36" s="35"/>
      <c r="D36" s="34"/>
      <c r="E36" s="34"/>
      <c r="F36" s="35"/>
      <c r="G36" s="34"/>
      <c r="H36" s="34"/>
      <c r="I36" s="35"/>
    </row>
    <row r="37" spans="1:18" x14ac:dyDescent="0.5">
      <c r="A37" s="34"/>
      <c r="B37" s="34"/>
      <c r="C37" s="35"/>
      <c r="D37" s="34"/>
      <c r="E37" s="34"/>
      <c r="F37" s="35"/>
      <c r="G37" s="34"/>
      <c r="H37" s="34"/>
      <c r="I37" s="35"/>
    </row>
    <row r="40" spans="1:18" x14ac:dyDescent="0.5">
      <c r="A40" s="75" t="s">
        <v>85</v>
      </c>
      <c r="B40" s="76"/>
      <c r="C40" s="76"/>
      <c r="D40" s="76"/>
      <c r="E40" s="76"/>
      <c r="F40" s="77"/>
      <c r="H40" s="75" t="s">
        <v>80</v>
      </c>
      <c r="I40" s="76"/>
      <c r="J40" s="76"/>
      <c r="K40" s="76"/>
      <c r="L40" s="76"/>
      <c r="M40" s="76"/>
      <c r="N40" s="76"/>
      <c r="O40" s="76"/>
      <c r="P40" s="76"/>
      <c r="Q40" s="76"/>
      <c r="R40" s="77"/>
    </row>
    <row r="41" spans="1:18" x14ac:dyDescent="0.5">
      <c r="A41" s="37" t="s">
        <v>59</v>
      </c>
      <c r="B41" s="34"/>
      <c r="C41" s="34" t="s">
        <v>60</v>
      </c>
      <c r="D41" s="34"/>
      <c r="E41" s="34" t="s">
        <v>61</v>
      </c>
      <c r="F41" s="38"/>
      <c r="H41" s="37" t="s">
        <v>85</v>
      </c>
      <c r="I41" s="34"/>
      <c r="J41" s="34"/>
      <c r="K41" s="34"/>
      <c r="L41" s="34"/>
      <c r="M41" s="34"/>
      <c r="N41" s="34"/>
      <c r="O41" s="34"/>
      <c r="P41" s="34"/>
      <c r="Q41" s="34"/>
      <c r="R41" s="38"/>
    </row>
    <row r="42" spans="1:18" x14ac:dyDescent="0.5">
      <c r="A42" s="37" t="s">
        <v>57</v>
      </c>
      <c r="B42" s="34">
        <f>AVERAGE(S9:S16,AD9:AD16)</f>
        <v>0.13188501534515748</v>
      </c>
      <c r="C42" s="34" t="s">
        <v>62</v>
      </c>
      <c r="D42" s="34">
        <f>AVERAGE(S9:S16,AD9:AD16)</f>
        <v>0.13188501534515748</v>
      </c>
      <c r="E42" s="34" t="s">
        <v>64</v>
      </c>
      <c r="F42" s="38">
        <f>AVERAGE(S9:S16,AD9:AD16)</f>
        <v>0.13188501534515748</v>
      </c>
      <c r="H42" s="37" t="s">
        <v>73</v>
      </c>
      <c r="I42" s="34">
        <f>B42</f>
        <v>0.13188501534515748</v>
      </c>
      <c r="J42" s="34" t="s">
        <v>76</v>
      </c>
      <c r="K42" s="39">
        <f>B43</f>
        <v>-5.5687355431515428E-3</v>
      </c>
      <c r="L42" s="34" t="s">
        <v>70</v>
      </c>
      <c r="M42" s="34" t="s">
        <v>76</v>
      </c>
      <c r="N42" s="39">
        <f>B44</f>
        <v>-2.0842677942261301E-3</v>
      </c>
      <c r="O42" s="34" t="s">
        <v>71</v>
      </c>
      <c r="P42" s="34" t="s">
        <v>76</v>
      </c>
      <c r="Q42" s="39">
        <f>B45</f>
        <v>5.9314170050764337E-3</v>
      </c>
      <c r="R42" s="38" t="s">
        <v>72</v>
      </c>
    </row>
    <row r="43" spans="1:18" x14ac:dyDescent="0.5">
      <c r="A43" s="37" t="s">
        <v>66</v>
      </c>
      <c r="B43" s="34">
        <f>AVERAGE(S10,S12,S15:S16,AD10,AD12,AD15:AD16)-AVERAGE(S9,S11,S13:S14,AD9,AD11,AD13:AD14)</f>
        <v>-5.5687355431515428E-3</v>
      </c>
      <c r="C43" s="34" t="s">
        <v>66</v>
      </c>
      <c r="D43" s="34">
        <f>AVERAGE(S10,S12,S15:S16,AD10,AD12,AD15:AD16)-AVERAGE(S9,S11,S13:S14,AD9,AD11,AD13:AD14)</f>
        <v>-5.5687355431515428E-3</v>
      </c>
      <c r="E43" s="34" t="s">
        <v>69</v>
      </c>
      <c r="F43" s="38">
        <f>AVERAGE(S11:S12,S14,S16,AD11:AD12,AD14,AD16)-AVERAGE(S9:S10,S13,S15,AD9:AD10,AD13,AD15)</f>
        <v>-2.0842677942261301E-3</v>
      </c>
      <c r="H43" s="37" t="s">
        <v>74</v>
      </c>
      <c r="I43" s="34">
        <f>D42</f>
        <v>0.13188501534515748</v>
      </c>
      <c r="J43" s="34" t="s">
        <v>76</v>
      </c>
      <c r="K43" s="39">
        <f>D43</f>
        <v>-5.5687355431515428E-3</v>
      </c>
      <c r="L43" s="34" t="s">
        <v>70</v>
      </c>
      <c r="M43" s="34" t="s">
        <v>76</v>
      </c>
      <c r="N43" s="34">
        <f>D44</f>
        <v>-1.2509517061084857E-2</v>
      </c>
      <c r="O43" s="34" t="s">
        <v>77</v>
      </c>
      <c r="P43" s="34" t="s">
        <v>76</v>
      </c>
      <c r="Q43" s="34">
        <f>D45</f>
        <v>-1.0580157418660141E-2</v>
      </c>
      <c r="R43" s="38" t="s">
        <v>78</v>
      </c>
    </row>
    <row r="44" spans="1:18" x14ac:dyDescent="0.5">
      <c r="A44" s="37" t="s">
        <v>67</v>
      </c>
      <c r="B44" s="34">
        <f>AVERAGE(S11:S12,S14,S16,AD11:AD12,AD14,AD16)-AVERAGE(S9:S10,S13,S15,AD9:AD10,AD13,AD15)</f>
        <v>-2.0842677942261301E-3</v>
      </c>
      <c r="C44" s="34" t="s">
        <v>68</v>
      </c>
      <c r="D44" s="34">
        <f>AVERAGE(S13:S16,AD13:AD16)-AVERAGE(S9:S12,AD9:AD12)</f>
        <v>-1.2509517061084857E-2</v>
      </c>
      <c r="E44" s="34" t="s">
        <v>68</v>
      </c>
      <c r="F44" s="38">
        <f>AVERAGE(S13:S16,AD13:AD16)-AVERAGE(S9:S12,AD9:AD12)</f>
        <v>-1.2509517061084857E-2</v>
      </c>
      <c r="H44" s="37" t="s">
        <v>75</v>
      </c>
      <c r="I44" s="34">
        <f>F42</f>
        <v>0.13188501534515748</v>
      </c>
      <c r="J44" s="34" t="s">
        <v>76</v>
      </c>
      <c r="K44" s="39">
        <f>F43</f>
        <v>-2.0842677942261301E-3</v>
      </c>
      <c r="L44" s="34" t="s">
        <v>71</v>
      </c>
      <c r="M44" s="34" t="s">
        <v>76</v>
      </c>
      <c r="N44" s="34">
        <f>F44</f>
        <v>-1.2509517061084857E-2</v>
      </c>
      <c r="O44" s="34" t="s">
        <v>77</v>
      </c>
      <c r="P44" s="34" t="s">
        <v>76</v>
      </c>
      <c r="Q44" s="34">
        <f>F45</f>
        <v>-1.1984706251548183E-2</v>
      </c>
      <c r="R44" s="38" t="s">
        <v>79</v>
      </c>
    </row>
    <row r="45" spans="1:18" x14ac:dyDescent="0.5">
      <c r="A45" s="37" t="s">
        <v>58</v>
      </c>
      <c r="B45" s="34">
        <f>AVERAGE(S9,S12:S13,S16,AE9,AE12:AE13,AE16)-AVERAGE(S10:S11,S14:S15,AE10:AE11,AE14:AE15)</f>
        <v>5.9314170050764337E-3</v>
      </c>
      <c r="C45" s="34" t="s">
        <v>63</v>
      </c>
      <c r="D45" s="34">
        <f>AVERAGE(S9,S11,S15:S16,AE9,AE11,AE15:AE16)-AVERAGE(S10,S12:S14,AE10,AE12:AE14)</f>
        <v>-1.0580157418660141E-2</v>
      </c>
      <c r="E45" s="34" t="s">
        <v>63</v>
      </c>
      <c r="F45" s="38">
        <f>AVERAGE(S9:S10,S14,S16,AE9:AE10,AE14,AE16)-AVERAGE(S11:S13,S15,AE11:AE13,AE15)</f>
        <v>-1.1984706251548183E-2</v>
      </c>
      <c r="H45" s="37"/>
      <c r="I45" s="34"/>
      <c r="J45" s="34"/>
      <c r="K45" s="34"/>
      <c r="L45" s="34"/>
      <c r="M45" s="34"/>
      <c r="N45" s="34"/>
      <c r="O45" s="34"/>
      <c r="P45" s="34"/>
      <c r="Q45" s="34"/>
      <c r="R45" s="38"/>
    </row>
    <row r="46" spans="1:18" x14ac:dyDescent="0.5">
      <c r="A46" s="37"/>
      <c r="B46" s="34"/>
      <c r="C46" s="34"/>
      <c r="D46" s="34"/>
      <c r="E46" s="34"/>
      <c r="F46" s="38"/>
      <c r="H46" s="37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18" x14ac:dyDescent="0.5">
      <c r="A47" s="72" t="s">
        <v>84</v>
      </c>
      <c r="B47" s="73"/>
      <c r="C47" s="73"/>
      <c r="D47" s="73"/>
      <c r="E47" s="73"/>
      <c r="F47" s="74"/>
      <c r="H47" s="37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x14ac:dyDescent="0.5">
      <c r="A48" s="37" t="s">
        <v>59</v>
      </c>
      <c r="B48" s="34"/>
      <c r="C48" s="34" t="s">
        <v>60</v>
      </c>
      <c r="D48" s="34"/>
      <c r="E48" s="34" t="s">
        <v>61</v>
      </c>
      <c r="F48" s="38"/>
      <c r="H48" s="37" t="s">
        <v>84</v>
      </c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x14ac:dyDescent="0.5">
      <c r="A49" s="37" t="s">
        <v>57</v>
      </c>
      <c r="B49" s="34">
        <f>AVERAGE(Q9:Q16,AB9:AB16)</f>
        <v>0.35716943750000002</v>
      </c>
      <c r="C49" s="34" t="s">
        <v>62</v>
      </c>
      <c r="D49" s="34">
        <f>AVERAGE(Q9:Q16,AB9:AB16)</f>
        <v>0.35716943750000002</v>
      </c>
      <c r="E49" s="34" t="s">
        <v>64</v>
      </c>
      <c r="F49" s="38">
        <f>AVERAGE(Q9:Q16,AB9:AB16)</f>
        <v>0.35716943750000002</v>
      </c>
      <c r="H49" s="37" t="s">
        <v>73</v>
      </c>
      <c r="I49" s="34">
        <f>B49</f>
        <v>0.35716943750000002</v>
      </c>
      <c r="J49" s="34" t="s">
        <v>76</v>
      </c>
      <c r="K49" s="34">
        <f>B50</f>
        <v>0.10031637500000007</v>
      </c>
      <c r="L49" s="34" t="s">
        <v>70</v>
      </c>
      <c r="M49" s="34" t="s">
        <v>76</v>
      </c>
      <c r="N49" s="34">
        <f>B51</f>
        <v>-8.046887499999994E-2</v>
      </c>
      <c r="O49" s="34" t="s">
        <v>71</v>
      </c>
      <c r="P49" s="34" t="s">
        <v>76</v>
      </c>
      <c r="Q49" s="39">
        <f>B52</f>
        <v>-1.6786374999999909E-2</v>
      </c>
      <c r="R49" s="38" t="s">
        <v>72</v>
      </c>
    </row>
    <row r="50" spans="1:18" x14ac:dyDescent="0.5">
      <c r="A50" s="37" t="s">
        <v>66</v>
      </c>
      <c r="B50" s="34">
        <f>AVERAGE(Q10,Q12,Q15:Q16,AB10,AB12,AB15:AB16)-AVERAGE(Q9,Q11,Q13:Q14,AB9,AB11,AB13:AB14)</f>
        <v>0.10031637500000007</v>
      </c>
      <c r="C50" s="34" t="s">
        <v>66</v>
      </c>
      <c r="D50" s="34">
        <f>AVERAGE(Q10,Q12,Q15:Q16,AB10,AB12,AB15:AB16)-AVERAGE(Q9,Q11,Q13:Q14,AB9,AB11,AB13:AB14)</f>
        <v>0.10031637500000007</v>
      </c>
      <c r="E50" s="34" t="s">
        <v>69</v>
      </c>
      <c r="F50" s="38">
        <f>AVERAGE(Q11:Q12,Q14,Q16,AB11:AB12,AB14,AB16)-AVERAGE(Q9:Q10,Q13,Q15,AB9:AB10,AB13,AB15)</f>
        <v>-8.046887499999994E-2</v>
      </c>
      <c r="H50" s="37" t="s">
        <v>74</v>
      </c>
      <c r="I50" s="34">
        <f>D49</f>
        <v>0.35716943750000002</v>
      </c>
      <c r="J50" s="34" t="s">
        <v>76</v>
      </c>
      <c r="K50" s="34">
        <f>D50</f>
        <v>0.10031637500000007</v>
      </c>
      <c r="L50" s="34" t="s">
        <v>70</v>
      </c>
      <c r="M50" s="34" t="s">
        <v>76</v>
      </c>
      <c r="N50" s="34">
        <f>D51</f>
        <v>-0.14178887499999998</v>
      </c>
      <c r="O50" s="34" t="s">
        <v>77</v>
      </c>
      <c r="P50" s="34" t="s">
        <v>76</v>
      </c>
      <c r="Q50" s="39">
        <f>D52</f>
        <v>-0.10067637499999987</v>
      </c>
      <c r="R50" s="38" t="s">
        <v>78</v>
      </c>
    </row>
    <row r="51" spans="1:18" x14ac:dyDescent="0.5">
      <c r="A51" s="37" t="s">
        <v>67</v>
      </c>
      <c r="B51" s="34">
        <f>AVERAGE(Q11:Q12,Q14,Q16,AB11:AB12,AB14,AB16)-AVERAGE(Q9:Q10,Q13,Q15,AB9:AB10,AB13,AB15)</f>
        <v>-8.046887499999994E-2</v>
      </c>
      <c r="C51" s="34" t="s">
        <v>68</v>
      </c>
      <c r="D51" s="34">
        <f>AVERAGE(Q13:Q16,AB13:AB16)-AVERAGE(Q9:Q12,AB9:AB12)</f>
        <v>-0.14178887499999998</v>
      </c>
      <c r="E51" s="34" t="s">
        <v>68</v>
      </c>
      <c r="F51" s="38">
        <f>AVERAGE(Q13:Q16,AB13:AB16)-AVERAGE(Q9:Q12,AB9:AB12)</f>
        <v>-0.14178887499999998</v>
      </c>
      <c r="H51" s="37" t="s">
        <v>75</v>
      </c>
      <c r="I51" s="34">
        <f>F49</f>
        <v>0.35716943750000002</v>
      </c>
      <c r="J51" s="34" t="s">
        <v>76</v>
      </c>
      <c r="K51" s="34">
        <f>F50</f>
        <v>-8.046887499999994E-2</v>
      </c>
      <c r="L51" s="34" t="s">
        <v>71</v>
      </c>
      <c r="M51" s="34" t="s">
        <v>76</v>
      </c>
      <c r="N51" s="34">
        <f>F51</f>
        <v>-0.14178887499999998</v>
      </c>
      <c r="O51" s="34" t="s">
        <v>77</v>
      </c>
      <c r="P51" s="34" t="s">
        <v>76</v>
      </c>
      <c r="Q51" s="34">
        <f>F52</f>
        <v>1.6243874999999963E-2</v>
      </c>
      <c r="R51" s="38" t="s">
        <v>79</v>
      </c>
    </row>
    <row r="52" spans="1:18" x14ac:dyDescent="0.5">
      <c r="A52" s="37" t="s">
        <v>58</v>
      </c>
      <c r="B52" s="34">
        <f>AVERAGE(Q9,Q12:Q13,Q16,AB9,AB12:AB13,AB16)-AVERAGE(Q10:Q11,Q14:Q15,AB10:AB11,AB14:AB15)</f>
        <v>-1.6786374999999909E-2</v>
      </c>
      <c r="C52" s="34" t="s">
        <v>63</v>
      </c>
      <c r="D52" s="34">
        <f>AVERAGE(Q9,Q11,Q15:Q16,AB9,AB11,AB15:AB16)-AVERAGE(Q10,Q12:Q14,AB10,AB12:AB14)</f>
        <v>-0.10067637499999987</v>
      </c>
      <c r="E52" s="34" t="s">
        <v>63</v>
      </c>
      <c r="F52" s="38">
        <f>AVERAGE(Q9:Q10,Q14,Q16,AB9:AB10,AB14,AB16)-AVERAGE(Q11:Q13,Q15,AB11:AB13,AB15)</f>
        <v>1.6243874999999963E-2</v>
      </c>
      <c r="H52" s="37"/>
      <c r="I52" s="34"/>
      <c r="J52" s="34"/>
      <c r="K52" s="34"/>
      <c r="L52" s="34"/>
      <c r="M52" s="34"/>
      <c r="N52" s="34"/>
      <c r="O52" s="34"/>
      <c r="P52" s="34"/>
      <c r="Q52" s="34"/>
      <c r="R52" s="38"/>
    </row>
    <row r="53" spans="1:18" x14ac:dyDescent="0.5">
      <c r="A53" s="37"/>
      <c r="B53" s="34"/>
      <c r="C53" s="34"/>
      <c r="D53" s="34"/>
      <c r="E53" s="34"/>
      <c r="F53" s="38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8"/>
    </row>
    <row r="54" spans="1:18" x14ac:dyDescent="0.5">
      <c r="A54" s="72" t="s">
        <v>48</v>
      </c>
      <c r="B54" s="73"/>
      <c r="C54" s="73"/>
      <c r="D54" s="73"/>
      <c r="E54" s="73"/>
      <c r="F54" s="74"/>
      <c r="H54" s="37"/>
      <c r="I54" s="34"/>
      <c r="J54" s="34"/>
      <c r="K54" s="34"/>
      <c r="L54" s="34"/>
      <c r="M54" s="34"/>
      <c r="N54" s="34"/>
      <c r="O54" s="34"/>
      <c r="P54" s="34"/>
      <c r="Q54" s="34"/>
      <c r="R54" s="38"/>
    </row>
    <row r="55" spans="1:18" x14ac:dyDescent="0.5">
      <c r="A55" s="37" t="s">
        <v>59</v>
      </c>
      <c r="B55" s="34"/>
      <c r="C55" s="34" t="s">
        <v>60</v>
      </c>
      <c r="D55" s="34"/>
      <c r="E55" s="34" t="s">
        <v>61</v>
      </c>
      <c r="F55" s="38"/>
      <c r="H55" s="37" t="s">
        <v>48</v>
      </c>
      <c r="I55" s="34"/>
      <c r="J55" s="34"/>
      <c r="K55" s="34"/>
      <c r="L55" s="34"/>
      <c r="M55" s="34"/>
      <c r="N55" s="34"/>
      <c r="O55" s="34"/>
      <c r="P55" s="34"/>
      <c r="Q55" s="34"/>
      <c r="R55" s="38"/>
    </row>
    <row r="56" spans="1:18" x14ac:dyDescent="0.5">
      <c r="A56" s="37" t="s">
        <v>57</v>
      </c>
      <c r="B56" s="34">
        <f>AVERAGE(O9:O16,Z9:Z16)</f>
        <v>59</v>
      </c>
      <c r="C56" s="34" t="s">
        <v>62</v>
      </c>
      <c r="D56" s="34">
        <f>AVERAGE(O9:O16,Z9:Z16)</f>
        <v>59</v>
      </c>
      <c r="E56" s="34" t="s">
        <v>64</v>
      </c>
      <c r="F56" s="38">
        <f>AVERAGE(O9:O16,Z9:Z16)</f>
        <v>59</v>
      </c>
      <c r="H56" s="37" t="s">
        <v>73</v>
      </c>
      <c r="I56" s="34">
        <f>B56</f>
        <v>59</v>
      </c>
      <c r="J56" s="34" t="s">
        <v>76</v>
      </c>
      <c r="K56" s="34">
        <f>B57</f>
        <v>-0.75</v>
      </c>
      <c r="L56" s="34" t="s">
        <v>70</v>
      </c>
      <c r="M56" s="34" t="s">
        <v>76</v>
      </c>
      <c r="N56" s="34">
        <f>B58</f>
        <v>-4.75</v>
      </c>
      <c r="O56" s="34" t="s">
        <v>71</v>
      </c>
      <c r="P56" s="34" t="s">
        <v>76</v>
      </c>
      <c r="Q56" s="34">
        <f>B59</f>
        <v>2</v>
      </c>
      <c r="R56" s="38" t="s">
        <v>72</v>
      </c>
    </row>
    <row r="57" spans="1:18" x14ac:dyDescent="0.5">
      <c r="A57" s="37" t="s">
        <v>66</v>
      </c>
      <c r="B57" s="34">
        <f>AVERAGE(O10,O12,O15:O16,Z10,Z12,Z15:Z16)-AVERAGE(O9,O11,O13:O14,Z9,Z11,Z13:Z14)</f>
        <v>-0.75</v>
      </c>
      <c r="C57" s="34" t="s">
        <v>66</v>
      </c>
      <c r="D57" s="34">
        <f>AVERAGE(O10,O12,O15:O16,Z10,Z12,Z15:Z16)-AVERAGE(O9,O11,O13:O14,Z9,Z11,Z13:Z14)</f>
        <v>-0.75</v>
      </c>
      <c r="E57" s="34" t="s">
        <v>69</v>
      </c>
      <c r="F57" s="38">
        <f>AVERAGE(O11:O12,O14,O16,Z11:Z12,Z14,Z16)-AVERAGE(O9:O10,O13,O15,Z9:Z10,Z13,Z15)</f>
        <v>-4.75</v>
      </c>
      <c r="H57" s="37" t="s">
        <v>74</v>
      </c>
      <c r="I57" s="34">
        <f>D56</f>
        <v>59</v>
      </c>
      <c r="J57" s="34" t="s">
        <v>76</v>
      </c>
      <c r="K57" s="34">
        <f>D57</f>
        <v>-0.75</v>
      </c>
      <c r="L57" s="34" t="s">
        <v>70</v>
      </c>
      <c r="M57" s="34" t="s">
        <v>76</v>
      </c>
      <c r="N57" s="34">
        <f>D58</f>
        <v>-15</v>
      </c>
      <c r="O57" s="34" t="s">
        <v>77</v>
      </c>
      <c r="P57" s="34" t="s">
        <v>76</v>
      </c>
      <c r="Q57" s="34">
        <f>D59</f>
        <v>2.75</v>
      </c>
      <c r="R57" s="38" t="s">
        <v>78</v>
      </c>
    </row>
    <row r="58" spans="1:18" x14ac:dyDescent="0.5">
      <c r="A58" s="37" t="s">
        <v>67</v>
      </c>
      <c r="B58" s="34">
        <f>AVERAGE(O11:O12,O14,O16,Z11:Z12,Z14,Z16)-AVERAGE(O9:O10,O13,O15,Z9:Z10,Z13,Z15)</f>
        <v>-4.75</v>
      </c>
      <c r="C58" s="34" t="s">
        <v>68</v>
      </c>
      <c r="D58" s="34">
        <f>AVERAGE(O13:O16,Z13:Z16)-AVERAGE(O9:O12,Z9:Z12)</f>
        <v>-15</v>
      </c>
      <c r="E58" s="34" t="s">
        <v>68</v>
      </c>
      <c r="F58" s="38">
        <f>AVERAGE(O13:O16,Z13:Z16)-AVERAGE(O9:O12,Z9:Z12)</f>
        <v>-15</v>
      </c>
      <c r="H58" s="40" t="s">
        <v>75</v>
      </c>
      <c r="I58" s="41">
        <f>F56</f>
        <v>59</v>
      </c>
      <c r="J58" s="41" t="s">
        <v>76</v>
      </c>
      <c r="K58" s="41">
        <f>F57</f>
        <v>-4.75</v>
      </c>
      <c r="L58" s="41" t="s">
        <v>71</v>
      </c>
      <c r="M58" s="41" t="s">
        <v>76</v>
      </c>
      <c r="N58" s="41">
        <f>F58</f>
        <v>-15</v>
      </c>
      <c r="O58" s="41" t="s">
        <v>77</v>
      </c>
      <c r="P58" s="41" t="s">
        <v>76</v>
      </c>
      <c r="Q58" s="41">
        <f>F59</f>
        <v>-3.75</v>
      </c>
      <c r="R58" s="42" t="s">
        <v>79</v>
      </c>
    </row>
    <row r="59" spans="1:18" x14ac:dyDescent="0.5">
      <c r="A59" s="40" t="s">
        <v>58</v>
      </c>
      <c r="B59" s="41">
        <f>AVERAGE(O9,O12:O13,O16,Z9,Z12:Z13,Z16)-AVERAGE(O10:O11,O14:O15,Z10:Z11,Z14:Z15)</f>
        <v>2</v>
      </c>
      <c r="C59" s="41" t="s">
        <v>63</v>
      </c>
      <c r="D59" s="41">
        <f>AVERAGE(O9,O11,O15:O16,Z9,Z11,Z15:Z16)-AVERAGE(O10,O12:O14,Z10,Z12:Z14)</f>
        <v>2.75</v>
      </c>
      <c r="E59" s="41" t="s">
        <v>63</v>
      </c>
      <c r="F59" s="42">
        <f>AVERAGE(O9:O10,O14,O16,Z9:Z10,Z14,Z16)-AVERAGE(O11:O13,O15,Z11:Z13,Z15)</f>
        <v>-3.75</v>
      </c>
    </row>
    <row r="61" spans="1:18" x14ac:dyDescent="0.5">
      <c r="M61" s="21">
        <f>7/24</f>
        <v>0.29166666666666669</v>
      </c>
    </row>
  </sheetData>
  <mergeCells count="4">
    <mergeCell ref="A40:F40"/>
    <mergeCell ref="H40:R40"/>
    <mergeCell ref="A47:F47"/>
    <mergeCell ref="A54:F5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Unaltered Data</vt:lpstr>
      <vt:lpstr>Updated Altered Data</vt:lpstr>
      <vt:lpstr>Slope</vt:lpstr>
      <vt:lpstr>Tables for Report</vt:lpstr>
      <vt:lpstr>Cook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2018-04-30T21:08:07Z</dcterms:modified>
</cp:coreProperties>
</file>